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65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Bancos'!$A$4:$P$52</definedName>
    <definedName name="_xlnm.Print_Area" localSheetId="5">'Definiciones Usadas'!$A$3:$G$34</definedName>
    <definedName name="_xlnm.Print_Area" localSheetId="3">'Estado Resultados Bancos'!$A$3:$Q$51</definedName>
    <definedName name="_xlnm.Print_Area" localSheetId="4">'Indicadores Bancos'!$A$3:$L$54</definedName>
    <definedName name="_xlnm.Print_Area" localSheetId="0">'Indice'!$A$1:$B$23</definedName>
    <definedName name="_xlnm.Print_Area" localSheetId="1">'Información Sistema'!$B$3:$F$75</definedName>
  </definedNames>
  <calcPr fullCalcOnLoad="1"/>
</workbook>
</file>

<file path=xl/sharedStrings.xml><?xml version="1.0" encoding="utf-8"?>
<sst xmlns="http://schemas.openxmlformats.org/spreadsheetml/2006/main" count="456" uniqueCount="264">
  <si>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</si>
  <si>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</si>
  <si>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</si>
  <si>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</si>
  <si>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</si>
  <si>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</si>
  <si>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</si>
  <si>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</si>
  <si>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</si>
  <si>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</si>
  <si>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</si>
  <si>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</si>
  <si>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</si>
  <si>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</si>
  <si>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</si>
  <si>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</si>
  <si>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</si>
  <si>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</si>
  <si>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</si>
  <si>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</si>
  <si>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</si>
  <si>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</si>
  <si>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</si>
  <si>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</si>
  <si>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</si>
  <si>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</si>
  <si>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</si>
  <si>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</si>
  <si>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</si>
  <si>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</si>
  <si>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</si>
  <si>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</si>
  <si>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</si>
  <si>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</si>
  <si>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</si>
  <si>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</si>
  <si>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</si>
  <si>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</si>
  <si>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</si>
  <si>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</si>
  <si>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</si>
  <si>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</si>
  <si>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</si>
  <si>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</si>
  <si>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</si>
  <si>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</si>
  <si>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</si>
  <si>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</si>
  <si>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</si>
  <si>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</si>
  <si>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</si>
  <si>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</si>
  <si>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</si>
  <si>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</si>
  <si>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</si>
  <si>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</si>
  <si>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</si>
  <si>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</si>
  <si>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</si>
  <si>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</si>
  <si>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</si>
  <si>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</si>
  <si>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</si>
  <si>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</si>
  <si>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 xml:space="preserve"> AL MES DE DICIEMBRE DE 2004 </t>
  </si>
  <si>
    <t>BALANCE</t>
  </si>
  <si>
    <t>Monto</t>
  </si>
  <si>
    <t>MM$</t>
  </si>
  <si>
    <t>mes anterior</t>
  </si>
  <si>
    <t>dic'2003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</si>
  <si>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</si>
  <si>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</si>
  <si>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</si>
  <si>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</si>
  <si>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</si>
  <si>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</si>
  <si>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</si>
  <si>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</si>
  <si>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</si>
  <si>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</si>
  <si>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</si>
  <si>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</si>
  <si>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</si>
  <si>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</si>
  <si>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</si>
  <si>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</si>
  <si>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</si>
  <si>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</si>
  <si>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</si>
  <si>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</si>
  <si>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</si>
  <si>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</si>
  <si>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</si>
  <si>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</si>
  <si>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</si>
  <si>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</si>
  <si>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</si>
  <si>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</si>
  <si>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</si>
  <si>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</si>
  <si>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</si>
  <si>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---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</si>
  <si>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</si>
  <si>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</si>
  <si>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</si>
  <si>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</si>
  <si>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</si>
  <si>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</si>
  <si>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</si>
  <si>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</si>
  <si>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París</t>
  </si>
  <si>
    <t xml:space="preserve">París 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</si>
  <si>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</si>
  <si>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</si>
  <si>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</si>
  <si>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</si>
  <si>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</si>
  <si>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</si>
  <si>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</si>
  <si>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</si>
  <si>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</si>
  <si>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</si>
  <si>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</si>
  <si>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</si>
  <si>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</si>
  <si>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</si>
  <si>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</si>
  <si>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</si>
  <si>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</si>
  <si>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</si>
  <si>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</si>
  <si>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</si>
  <si>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</si>
  <si>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</si>
  <si>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</si>
  <si>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</si>
  <si>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</si>
  <si>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</si>
  <si>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</si>
  <si>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</si>
  <si>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</si>
  <si>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</si>
  <si>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</si>
  <si>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(1) A partir de enero de 2004 esta institución es propietaria en un 99% de Banco Conosur. Por lo tanto, su situación financiera se presenta consolidada con Banco Conosur.</t>
  </si>
  <si>
    <t>De Crédito e Inversiones   (2)</t>
  </si>
  <si>
    <t>Conosur                            (2)</t>
  </si>
  <si>
    <t>Del Estado de Chile</t>
  </si>
  <si>
    <t>De Crédito e Inversiones    (1)</t>
  </si>
  <si>
    <t>PRINCIPALES ACTIVOS Y PASIVOS POR INSTITUCIONES AL MES DE DICIEMBRE DE 2004</t>
  </si>
  <si>
    <t>ESTRUCTURA DEL ESTADO DE RESULTADOS POR INSTITUCIONES AL MES DE DICIEMBRE DE 2004</t>
  </si>
  <si>
    <t>(3) El deflactor utilizado corresponde a la unidad de fomento (UF).</t>
  </si>
  <si>
    <t>(1) Corresponde a la variación real entre los resultados del mes, respecto de los registrados durante el mes anterior.</t>
  </si>
  <si>
    <t>Conosur                             (2)</t>
  </si>
  <si>
    <t>De Crédito e Inversiones    (2)</t>
  </si>
  <si>
    <t>(3) las variaciones son reales y usan como deflactor la unidad de fomento (UF).</t>
  </si>
  <si>
    <t>Actividad (variación en doce meses)  (3)</t>
  </si>
  <si>
    <t>Rentabilidad s/Capital y reservas  (4)</t>
  </si>
  <si>
    <t>(4) Los porcentajes de rentabilidad se determinan anualizando las cifras de resultados (dividiendo estos últimos por el número de meses transcurridos y luego multiplicándolos por doce).</t>
  </si>
  <si>
    <t>(5)  Esta institución está afecta a un régimen impositivo distinto que el del resto de la banca.</t>
  </si>
  <si>
    <t>Del Estado de Chile    (5)</t>
  </si>
  <si>
    <t>INDICADORES POR INSTITUCIONES AL MES DE DICIEMBRE DE 2004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</si>
  <si>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</si>
  <si>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</si>
  <si>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</si>
  <si>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</si>
  <si>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</si>
  <si>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</si>
  <si>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</si>
  <si>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</si>
  <si>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</si>
  <si>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</si>
  <si>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</si>
  <si>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</si>
  <si>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</si>
  <si>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>1105 a 1660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</si>
  <si>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</si>
  <si>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</si>
  <si>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</si>
  <si>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</si>
  <si>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</si>
  <si>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</si>
  <si>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</si>
  <si>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</si>
  <si>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</si>
  <si>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</si>
  <si>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</si>
  <si>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</si>
  <si>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</si>
  <si>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</si>
  <si>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</si>
  <si>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</si>
  <si>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</si>
  <si>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</si>
  <si>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</si>
  <si>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</si>
  <si>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</si>
  <si>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</si>
  <si>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</si>
  <si>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</si>
  <si>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</si>
  <si>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</si>
  <si>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</si>
  <si>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</si>
  <si>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</si>
  <si>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</si>
  <si>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</si>
  <si>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</si>
  <si>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</si>
  <si>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</si>
  <si>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</si>
  <si>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</si>
  <si>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</si>
  <si>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</si>
  <si>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</si>
  <si>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</si>
  <si>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1105 a 1421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</si>
  <si>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</si>
  <si>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</si>
  <si>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</si>
  <si>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</si>
  <si>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</si>
  <si>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</si>
  <si>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</si>
  <si>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</si>
  <si>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</si>
  <si>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</si>
  <si>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</si>
  <si>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</si>
  <si>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</si>
  <si>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</si>
  <si>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</si>
  <si>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</si>
  <si>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</si>
  <si>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</si>
  <si>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</si>
  <si>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</si>
  <si>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</si>
  <si>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</si>
  <si>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</si>
  <si>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</si>
  <si>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</si>
  <si>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</si>
  <si>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</si>
  <si>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</si>
  <si>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</si>
  <si>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</si>
  <si>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</si>
  <si>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</si>
  <si>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</si>
  <si>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</si>
  <si>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</si>
  <si>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</si>
  <si>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</si>
  <si>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(2) Corresponde a la situación financiera individual de los bancos Conosur y De Crédito e Inversiones.  Este último incluye el capital y reservas, el excedente antes de impuestos y la utilidad final de Banco Conosur.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</si>
  <si>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</si>
  <si>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</si>
  <si>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</si>
  <si>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</si>
  <si>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</si>
  <si>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</si>
  <si>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</si>
  <si>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</si>
  <si>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</si>
  <si>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Reporte de Información Financiera Mensual - Diciembre 2004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</si>
</sst>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</numFmts>
  <fonts count="2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3" fillId="2" borderId="0" xfId="0" applyNumberFormat="1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180" fontId="8" fillId="2" borderId="12" xfId="0" applyNumberFormat="1" applyFont="1" applyFill="1" applyBorder="1" applyAlignment="1">
      <alignment horizontal="center"/>
    </xf>
    <xf numFmtId="180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180" fontId="10" fillId="2" borderId="12" xfId="0" applyNumberFormat="1" applyFont="1" applyFill="1" applyBorder="1" applyAlignment="1">
      <alignment horizontal="center"/>
    </xf>
    <xf numFmtId="180" fontId="10" fillId="2" borderId="20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180" fontId="10" fillId="2" borderId="14" xfId="0" applyNumberFormat="1" applyFont="1" applyFill="1" applyBorder="1" applyAlignment="1">
      <alignment horizontal="center"/>
    </xf>
    <xf numFmtId="180" fontId="10" fillId="2" borderId="15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180" fontId="10" fillId="2" borderId="16" xfId="0" applyNumberFormat="1" applyFont="1" applyFill="1" applyBorder="1" applyAlignment="1">
      <alignment horizontal="center"/>
    </xf>
    <xf numFmtId="180" fontId="10" fillId="2" borderId="17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0" fontId="8" fillId="2" borderId="0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 quotePrefix="1">
      <alignment horizontal="center"/>
    </xf>
    <xf numFmtId="180" fontId="10" fillId="2" borderId="19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22" t="s">
        <v>263</v>
      </c>
    </row>
    <row r="9" ht="12.75">
      <c r="B9" s="123" t="s">
        <v>15</v>
      </c>
    </row>
    <row r="11" ht="12.75">
      <c r="B11" s="124" t="s">
        <v>166</v>
      </c>
    </row>
    <row r="13" ht="12.75">
      <c r="B13" s="123" t="s">
        <v>165</v>
      </c>
    </row>
    <row r="15" ht="12.75">
      <c r="B15" s="124" t="s">
        <v>170</v>
      </c>
    </row>
    <row r="17" ht="12.75">
      <c r="B17" s="124" t="s">
        <v>171</v>
      </c>
    </row>
    <row r="19" ht="12.75">
      <c r="B19" s="124" t="s">
        <v>167</v>
      </c>
    </row>
    <row r="21" ht="12.75">
      <c r="B21" s="124" t="s">
        <v>169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3" customWidth="1"/>
    <col min="2" max="2" width="68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21" t="s">
        <v>161</v>
      </c>
      <c r="F1" s="125" t="s">
        <v>168</v>
      </c>
    </row>
    <row r="2" ht="12.75">
      <c r="A2" s="121" t="s">
        <v>162</v>
      </c>
    </row>
    <row r="3" spans="1:6" ht="15.75">
      <c r="A3" s="121"/>
      <c r="B3" s="176" t="s">
        <v>163</v>
      </c>
      <c r="C3" s="176"/>
      <c r="D3" s="176"/>
      <c r="E3" s="176"/>
      <c r="F3" s="176"/>
    </row>
    <row r="4" spans="2:6" ht="15.75">
      <c r="B4" s="176" t="s">
        <v>164</v>
      </c>
      <c r="C4" s="176"/>
      <c r="D4" s="176"/>
      <c r="E4" s="176"/>
      <c r="F4" s="176"/>
    </row>
    <row r="5" spans="2:6" ht="15.75">
      <c r="B5" s="1" t="s">
        <v>64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79" t="s">
        <v>65</v>
      </c>
      <c r="C7" s="180"/>
      <c r="D7" s="180"/>
      <c r="E7" s="180"/>
      <c r="F7" s="181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66</v>
      </c>
      <c r="D9" s="9" t="s">
        <v>140</v>
      </c>
      <c r="E9" s="10"/>
      <c r="F9" s="11"/>
    </row>
    <row r="10" spans="2:6" ht="12.75">
      <c r="B10" s="12"/>
      <c r="C10" s="13" t="s">
        <v>67</v>
      </c>
      <c r="D10" s="14" t="s">
        <v>68</v>
      </c>
      <c r="E10" s="14" t="s">
        <v>69</v>
      </c>
      <c r="F10" s="14" t="s">
        <v>70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71</v>
      </c>
      <c r="C12" s="19">
        <v>37832931</v>
      </c>
      <c r="D12" s="20">
        <v>-0.09</v>
      </c>
      <c r="E12" s="20">
        <v>10.41</v>
      </c>
      <c r="F12" s="20">
        <v>10.41</v>
      </c>
    </row>
    <row r="13" spans="2:6" ht="12.75">
      <c r="B13" s="21" t="s">
        <v>104</v>
      </c>
      <c r="C13" s="22">
        <v>25795859</v>
      </c>
      <c r="D13" s="23">
        <v>-0.96</v>
      </c>
      <c r="E13" s="23">
        <v>7.23</v>
      </c>
      <c r="F13" s="23">
        <v>7.23</v>
      </c>
    </row>
    <row r="14" spans="2:6" ht="12.75">
      <c r="B14" s="24" t="s">
        <v>126</v>
      </c>
      <c r="C14" s="25">
        <v>21924649</v>
      </c>
      <c r="D14" s="26">
        <v>0.6</v>
      </c>
      <c r="E14" s="26">
        <v>7.36</v>
      </c>
      <c r="F14" s="26">
        <v>7.36</v>
      </c>
    </row>
    <row r="15" spans="2:6" ht="12.75">
      <c r="B15" s="24" t="s">
        <v>127</v>
      </c>
      <c r="C15" s="25">
        <v>3387580</v>
      </c>
      <c r="D15" s="26">
        <v>-7.55</v>
      </c>
      <c r="E15" s="26">
        <v>14.08</v>
      </c>
      <c r="F15" s="26">
        <v>14.08</v>
      </c>
    </row>
    <row r="16" spans="2:6" ht="12.75">
      <c r="B16" s="24" t="s">
        <v>128</v>
      </c>
      <c r="C16" s="25">
        <v>483631</v>
      </c>
      <c r="D16" s="26">
        <v>-17.42</v>
      </c>
      <c r="E16" s="26">
        <v>-27.17</v>
      </c>
      <c r="F16" s="26">
        <v>-27.17</v>
      </c>
    </row>
    <row r="17" spans="2:6" ht="12.75">
      <c r="B17" s="21" t="s">
        <v>103</v>
      </c>
      <c r="C17" s="22">
        <v>12037071</v>
      </c>
      <c r="D17" s="23">
        <v>1.8</v>
      </c>
      <c r="E17" s="23">
        <v>17.89</v>
      </c>
      <c r="F17" s="23">
        <v>17.89</v>
      </c>
    </row>
    <row r="18" spans="2:6" ht="12.75">
      <c r="B18" s="24" t="s">
        <v>129</v>
      </c>
      <c r="C18" s="25">
        <v>4378045</v>
      </c>
      <c r="D18" s="26">
        <v>1.43</v>
      </c>
      <c r="E18" s="26">
        <v>16.32</v>
      </c>
      <c r="F18" s="26">
        <v>16.32</v>
      </c>
    </row>
    <row r="19" spans="2:6" ht="12.75">
      <c r="B19" s="24" t="s">
        <v>130</v>
      </c>
      <c r="C19" s="25">
        <v>7659026</v>
      </c>
      <c r="D19" s="26">
        <v>2.01</v>
      </c>
      <c r="E19" s="26">
        <v>18.81</v>
      </c>
      <c r="F19" s="26">
        <v>18.81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72</v>
      </c>
      <c r="C21" s="22">
        <v>9315624</v>
      </c>
      <c r="D21" s="23">
        <v>1.48</v>
      </c>
      <c r="E21" s="23">
        <v>4.12</v>
      </c>
      <c r="F21" s="23">
        <v>4.12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73</v>
      </c>
      <c r="C23" s="28">
        <v>53548506</v>
      </c>
      <c r="D23" s="29">
        <v>-0.7</v>
      </c>
      <c r="E23" s="29">
        <v>10.66</v>
      </c>
      <c r="F23" s="29">
        <v>10.66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74</v>
      </c>
      <c r="C25" s="19">
        <v>30143823</v>
      </c>
      <c r="D25" s="20">
        <v>1.78</v>
      </c>
      <c r="E25" s="20">
        <v>15.23</v>
      </c>
      <c r="F25" s="20">
        <v>15.23</v>
      </c>
    </row>
    <row r="26" spans="2:6" ht="12.75">
      <c r="B26" s="24" t="s">
        <v>135</v>
      </c>
      <c r="C26" s="25">
        <v>7368952</v>
      </c>
      <c r="D26" s="26">
        <v>5.41</v>
      </c>
      <c r="E26" s="26">
        <v>17.72</v>
      </c>
      <c r="F26" s="26">
        <v>17.72</v>
      </c>
    </row>
    <row r="27" spans="2:6" ht="12.75">
      <c r="B27" s="24" t="s">
        <v>105</v>
      </c>
      <c r="C27" s="25">
        <v>22774872</v>
      </c>
      <c r="D27" s="26">
        <v>0.65</v>
      </c>
      <c r="E27" s="26">
        <v>14.44</v>
      </c>
      <c r="F27" s="26">
        <v>14.44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118</v>
      </c>
      <c r="C29" s="22">
        <v>3191526</v>
      </c>
      <c r="D29" s="23">
        <v>-2.4</v>
      </c>
      <c r="E29" s="23">
        <v>0.63</v>
      </c>
      <c r="F29" s="23">
        <v>0.63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119</v>
      </c>
      <c r="C31" s="22">
        <f>C32+C33+C34</f>
        <v>7952977.718993</v>
      </c>
      <c r="D31" s="23">
        <v>5.75</v>
      </c>
      <c r="E31" s="23">
        <v>0.19</v>
      </c>
      <c r="F31" s="23">
        <v>0.19</v>
      </c>
    </row>
    <row r="32" spans="2:6" ht="12.75">
      <c r="B32" s="24" t="s">
        <v>120</v>
      </c>
      <c r="C32" s="25">
        <v>5819844</v>
      </c>
      <c r="D32" s="26">
        <v>-1.15</v>
      </c>
      <c r="E32" s="26">
        <v>-8.72</v>
      </c>
      <c r="F32" s="26">
        <v>-8.72</v>
      </c>
    </row>
    <row r="33" spans="2:6" ht="15" customHeight="1">
      <c r="B33" s="24" t="s">
        <v>121</v>
      </c>
      <c r="C33" s="25">
        <v>781253.718993</v>
      </c>
      <c r="D33" s="26">
        <v>70.3</v>
      </c>
      <c r="E33" s="26">
        <v>84.73</v>
      </c>
      <c r="F33" s="26">
        <v>84.73</v>
      </c>
    </row>
    <row r="34" spans="2:6" ht="12.75">
      <c r="B34" s="24" t="s">
        <v>122</v>
      </c>
      <c r="C34" s="25">
        <v>1351880</v>
      </c>
      <c r="D34" s="26">
        <v>15.13</v>
      </c>
      <c r="E34" s="26">
        <v>15.56</v>
      </c>
      <c r="F34" s="26">
        <v>15.56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75</v>
      </c>
      <c r="C36" s="28">
        <v>3971063</v>
      </c>
      <c r="D36" s="29">
        <v>1.08</v>
      </c>
      <c r="E36" s="29">
        <v>4.11</v>
      </c>
      <c r="F36" s="29">
        <v>4.11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33" t="s">
        <v>27</v>
      </c>
      <c r="C38" s="34"/>
      <c r="D38" s="35"/>
      <c r="E38" s="35"/>
      <c r="F38" s="35"/>
    </row>
    <row r="39" spans="2:6" ht="12.75">
      <c r="B39" s="36" t="s">
        <v>78</v>
      </c>
      <c r="C39" s="37">
        <v>454940</v>
      </c>
      <c r="D39" s="38">
        <v>-7.75</v>
      </c>
      <c r="E39" s="38">
        <v>-18.79</v>
      </c>
      <c r="F39" s="38">
        <v>-18.79</v>
      </c>
    </row>
    <row r="40" spans="2:6" ht="12.75">
      <c r="B40" s="24" t="s">
        <v>77</v>
      </c>
      <c r="C40" s="25">
        <v>1629356</v>
      </c>
      <c r="D40" s="26">
        <v>2.95</v>
      </c>
      <c r="E40" s="26">
        <v>23.51</v>
      </c>
      <c r="F40" s="26">
        <v>23.51</v>
      </c>
    </row>
    <row r="41" spans="2:6" ht="12.75">
      <c r="B41" s="24" t="s">
        <v>95</v>
      </c>
      <c r="C41" s="25">
        <v>269272</v>
      </c>
      <c r="D41" s="26">
        <v>29.73</v>
      </c>
      <c r="E41" s="26">
        <v>179.36</v>
      </c>
      <c r="F41" s="26">
        <v>179.36</v>
      </c>
    </row>
    <row r="42" spans="2:6" ht="12.75">
      <c r="B42" s="39" t="s">
        <v>76</v>
      </c>
      <c r="C42" s="40">
        <v>2782197</v>
      </c>
      <c r="D42" s="41">
        <v>-1.47</v>
      </c>
      <c r="E42" s="41">
        <v>18.85</v>
      </c>
      <c r="F42" s="41">
        <v>18.85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79</v>
      </c>
      <c r="C44" s="43">
        <v>35050734</v>
      </c>
      <c r="D44" s="44">
        <v>0.02</v>
      </c>
      <c r="E44" s="44">
        <v>9.79</v>
      </c>
      <c r="F44" s="44">
        <v>9.79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79" t="s">
        <v>80</v>
      </c>
      <c r="C46" s="180"/>
      <c r="D46" s="180"/>
      <c r="E46" s="180"/>
      <c r="F46" s="181"/>
    </row>
    <row r="47" spans="2:6" ht="9" customHeight="1">
      <c r="B47" s="47"/>
      <c r="C47" s="48"/>
      <c r="D47" s="49"/>
      <c r="E47" s="49"/>
      <c r="F47" s="50"/>
    </row>
    <row r="48" spans="2:5" ht="12.75">
      <c r="B48" s="7"/>
      <c r="C48" s="51" t="s">
        <v>81</v>
      </c>
      <c r="D48" s="177" t="s">
        <v>136</v>
      </c>
      <c r="E48" s="178"/>
    </row>
    <row r="49" spans="2:5" ht="12.75">
      <c r="B49" s="52"/>
      <c r="C49" s="51" t="s">
        <v>67</v>
      </c>
      <c r="D49" s="53" t="s">
        <v>137</v>
      </c>
      <c r="E49" s="53" t="s">
        <v>138</v>
      </c>
    </row>
    <row r="50" spans="2:5" ht="12.75">
      <c r="B50" s="36" t="s">
        <v>216</v>
      </c>
      <c r="C50" s="162">
        <v>1792641.3689000001</v>
      </c>
      <c r="D50" s="163">
        <v>-0.53</v>
      </c>
      <c r="E50" s="38">
        <v>3.37</v>
      </c>
    </row>
    <row r="51" spans="2:5" ht="12.75">
      <c r="B51" s="24" t="s">
        <v>82</v>
      </c>
      <c r="C51" s="54">
        <v>455458</v>
      </c>
      <c r="D51" s="26">
        <v>1.9382547527907124</v>
      </c>
      <c r="E51" s="26">
        <v>0.8599753033980948</v>
      </c>
    </row>
    <row r="52" spans="2:5" ht="12.75">
      <c r="B52" s="24" t="s">
        <v>223</v>
      </c>
      <c r="C52" s="54">
        <v>156022</v>
      </c>
      <c r="D52" s="26">
        <v>35.5887180426188</v>
      </c>
      <c r="E52" s="26">
        <v>15.77930156671587</v>
      </c>
    </row>
    <row r="53" spans="2:6" ht="12.75">
      <c r="B53" s="39" t="s">
        <v>83</v>
      </c>
      <c r="C53" s="55">
        <v>11251.596899999997</v>
      </c>
      <c r="D53" s="164" t="s">
        <v>101</v>
      </c>
      <c r="E53" s="41">
        <v>-27.296670464743745</v>
      </c>
      <c r="F53" s="77"/>
    </row>
    <row r="54" spans="2:5" ht="12.75">
      <c r="B54" s="56" t="s">
        <v>84</v>
      </c>
      <c r="C54" s="57">
        <v>2415373</v>
      </c>
      <c r="D54" s="58">
        <v>3.8097834584506907</v>
      </c>
      <c r="E54" s="58">
        <v>3.4003974707975573</v>
      </c>
    </row>
    <row r="55" spans="2:5" ht="12.75">
      <c r="B55" s="36" t="s">
        <v>85</v>
      </c>
      <c r="C55" s="59">
        <v>1291066</v>
      </c>
      <c r="D55" s="38">
        <v>23.295857519559537</v>
      </c>
      <c r="E55" s="38">
        <v>3.0619302942494158</v>
      </c>
    </row>
    <row r="56" spans="2:5" ht="12.75">
      <c r="B56" s="39" t="s">
        <v>49</v>
      </c>
      <c r="C56" s="55">
        <v>445130</v>
      </c>
      <c r="D56" s="41">
        <v>39.82740776896673</v>
      </c>
      <c r="E56" s="41">
        <v>5.370509816660624</v>
      </c>
    </row>
    <row r="57" spans="2:5" ht="12.75">
      <c r="B57" s="56" t="s">
        <v>86</v>
      </c>
      <c r="C57" s="57">
        <v>679177</v>
      </c>
      <c r="D57" s="58">
        <v>-74.34887562734322</v>
      </c>
      <c r="E57" s="58">
        <v>2.7825629474662255</v>
      </c>
    </row>
    <row r="58" spans="2:5" ht="12.75">
      <c r="B58" s="36" t="s">
        <v>236</v>
      </c>
      <c r="C58" s="59">
        <v>126959.6354</v>
      </c>
      <c r="D58" s="38">
        <v>-81.2017231389604</v>
      </c>
      <c r="E58" s="38">
        <v>12.010737710723705</v>
      </c>
    </row>
    <row r="59" spans="2:6" ht="12.75">
      <c r="B59" s="56" t="s">
        <v>246</v>
      </c>
      <c r="C59" s="60">
        <v>806137.0169</v>
      </c>
      <c r="D59" s="58">
        <v>-75.7842632946141</v>
      </c>
      <c r="E59" s="58">
        <v>4.133715291982213</v>
      </c>
      <c r="F59" s="77"/>
    </row>
    <row r="60" spans="2:5" ht="12.75">
      <c r="B60" s="24" t="s">
        <v>107</v>
      </c>
      <c r="C60" s="54">
        <v>-15161.1981</v>
      </c>
      <c r="D60" s="165" t="s">
        <v>101</v>
      </c>
      <c r="E60" s="26">
        <v>-36.56248888584274</v>
      </c>
    </row>
    <row r="61" spans="2:5" ht="12.75">
      <c r="B61" s="56" t="s">
        <v>102</v>
      </c>
      <c r="C61" s="57">
        <v>790975.8188</v>
      </c>
      <c r="D61" s="58">
        <v>-53.16939282937771</v>
      </c>
      <c r="E61" s="58">
        <v>3.9527910005731943</v>
      </c>
    </row>
    <row r="62" spans="2:5" ht="12.75">
      <c r="B62" s="39" t="s">
        <v>96</v>
      </c>
      <c r="C62" s="61">
        <v>126345.5363</v>
      </c>
      <c r="D62" s="175">
        <v>176.03</v>
      </c>
      <c r="E62" s="41">
        <v>2.1009591512298225</v>
      </c>
    </row>
    <row r="63" spans="2:5" ht="12.75">
      <c r="B63" s="56" t="s">
        <v>87</v>
      </c>
      <c r="C63" s="62">
        <v>664630.2824</v>
      </c>
      <c r="D63" s="63">
        <v>-20.011491599216217</v>
      </c>
      <c r="E63" s="58">
        <v>4.312447274901107</v>
      </c>
    </row>
    <row r="65" ht="12.75">
      <c r="B65" s="64" t="s">
        <v>27</v>
      </c>
    </row>
    <row r="66" spans="2:5" ht="12.75">
      <c r="B66" s="42" t="s">
        <v>131</v>
      </c>
      <c r="C66" s="65">
        <v>443187.125513</v>
      </c>
      <c r="D66" s="66">
        <v>4.84</v>
      </c>
      <c r="E66" s="44">
        <v>5.43</v>
      </c>
    </row>
    <row r="68" ht="9" customHeight="1"/>
    <row r="69" ht="12.75">
      <c r="B69" s="3" t="s">
        <v>60</v>
      </c>
    </row>
    <row r="70" ht="12.75">
      <c r="B70" s="3" t="s">
        <v>151</v>
      </c>
    </row>
    <row r="71" ht="12.75">
      <c r="B71" s="3" t="s">
        <v>139</v>
      </c>
    </row>
    <row r="72" ht="12.75">
      <c r="B72" s="3" t="s">
        <v>150</v>
      </c>
    </row>
    <row r="74" ht="12.75">
      <c r="B74" s="3" t="s">
        <v>106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21" t="s">
        <v>161</v>
      </c>
      <c r="P1" s="125" t="s">
        <v>168</v>
      </c>
    </row>
    <row r="2" ht="12.75">
      <c r="A2" s="121" t="s">
        <v>162</v>
      </c>
    </row>
    <row r="3" ht="12.75">
      <c r="A3" s="121"/>
    </row>
    <row r="4" spans="1:16" ht="18">
      <c r="A4" s="185" t="s">
        <v>148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.75">
      <c r="A5" s="186" t="s">
        <v>93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9" customFormat="1" ht="12.75">
      <c r="A7" s="69"/>
      <c r="B7" s="182" t="s">
        <v>0</v>
      </c>
      <c r="C7" s="183"/>
      <c r="D7" s="183"/>
      <c r="E7" s="183"/>
      <c r="F7" s="184"/>
      <c r="G7" s="70" t="s">
        <v>61</v>
      </c>
      <c r="H7" s="69" t="s">
        <v>62</v>
      </c>
      <c r="I7" s="183" t="s">
        <v>38</v>
      </c>
      <c r="J7" s="183"/>
      <c r="K7" s="184"/>
      <c r="L7" s="69" t="s">
        <v>123</v>
      </c>
      <c r="M7" s="69" t="s">
        <v>1</v>
      </c>
      <c r="N7" s="71"/>
      <c r="O7" s="69" t="s">
        <v>0</v>
      </c>
      <c r="P7" s="69" t="s">
        <v>0</v>
      </c>
    </row>
    <row r="8" spans="1:16" s="49" customFormat="1" ht="12.75">
      <c r="A8" s="72" t="s">
        <v>20</v>
      </c>
      <c r="B8" s="73" t="s">
        <v>98</v>
      </c>
      <c r="C8" s="72" t="s">
        <v>99</v>
      </c>
      <c r="D8" s="182" t="s">
        <v>97</v>
      </c>
      <c r="E8" s="183"/>
      <c r="F8" s="184"/>
      <c r="G8" s="67" t="s">
        <v>2</v>
      </c>
      <c r="H8" s="72" t="s">
        <v>2</v>
      </c>
      <c r="I8" s="73" t="s">
        <v>98</v>
      </c>
      <c r="J8" s="72" t="s">
        <v>141</v>
      </c>
      <c r="K8" s="72" t="s">
        <v>108</v>
      </c>
      <c r="L8" s="72" t="s">
        <v>124</v>
      </c>
      <c r="M8" s="72" t="s">
        <v>3</v>
      </c>
      <c r="N8" s="71"/>
      <c r="O8" s="72" t="s">
        <v>63</v>
      </c>
      <c r="P8" s="72" t="s">
        <v>37</v>
      </c>
    </row>
    <row r="9" spans="1:16" s="49" customFormat="1" ht="12.75">
      <c r="A9" s="74"/>
      <c r="B9" s="75"/>
      <c r="C9" s="74"/>
      <c r="D9" s="74" t="s">
        <v>98</v>
      </c>
      <c r="E9" s="74" t="s">
        <v>36</v>
      </c>
      <c r="F9" s="74" t="s">
        <v>109</v>
      </c>
      <c r="G9" s="76"/>
      <c r="H9" s="74"/>
      <c r="I9" s="75"/>
      <c r="J9" s="74" t="s">
        <v>142</v>
      </c>
      <c r="K9" s="74"/>
      <c r="L9" s="74" t="s">
        <v>125</v>
      </c>
      <c r="M9" s="74"/>
      <c r="N9" s="71"/>
      <c r="O9" s="74"/>
      <c r="P9" s="74"/>
    </row>
    <row r="10" spans="2:16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77"/>
      <c r="P10" s="77"/>
    </row>
    <row r="11" spans="1:16" s="49" customFormat="1" ht="12.75">
      <c r="A11" s="78" t="s">
        <v>16</v>
      </c>
      <c r="B11" s="79">
        <v>31014105.9645</v>
      </c>
      <c r="C11" s="79">
        <v>22211123.009806</v>
      </c>
      <c r="D11" s="79">
        <v>8802982.954753</v>
      </c>
      <c r="E11" s="79">
        <v>3431777.780069</v>
      </c>
      <c r="F11" s="79">
        <v>5371205.174684</v>
      </c>
      <c r="G11" s="79">
        <v>5931669.393</v>
      </c>
      <c r="H11" s="79">
        <v>41979715.2738</v>
      </c>
      <c r="I11" s="79">
        <f>J11+K11</f>
        <v>23806234.778</v>
      </c>
      <c r="J11" s="79">
        <v>5414979.7586</v>
      </c>
      <c r="K11" s="79">
        <v>18391255.0194</v>
      </c>
      <c r="L11" s="79">
        <v>5590158.987780999</v>
      </c>
      <c r="M11" s="79">
        <v>3114192.3085</v>
      </c>
      <c r="N11" s="80"/>
      <c r="O11" s="79">
        <v>2560823.98819</v>
      </c>
      <c r="P11" s="79">
        <v>393351.6531</v>
      </c>
    </row>
    <row r="12" spans="1:16" ht="12.75">
      <c r="A12" s="81" t="s">
        <v>28</v>
      </c>
      <c r="B12" s="81">
        <v>214715.492</v>
      </c>
      <c r="C12" s="81">
        <v>213533.59380299997</v>
      </c>
      <c r="D12" s="81">
        <v>1181.898249</v>
      </c>
      <c r="E12" s="81">
        <v>42.704087</v>
      </c>
      <c r="F12" s="81">
        <v>1139.194162</v>
      </c>
      <c r="G12" s="81">
        <v>117496.0012</v>
      </c>
      <c r="H12" s="81">
        <v>388876.9108</v>
      </c>
      <c r="I12" s="81">
        <f>J12+K12</f>
        <v>86815.83899999999</v>
      </c>
      <c r="J12" s="81">
        <v>29675.2721</v>
      </c>
      <c r="K12" s="81">
        <v>57140.5669</v>
      </c>
      <c r="L12" s="81">
        <v>0</v>
      </c>
      <c r="M12" s="81">
        <v>89861.1767</v>
      </c>
      <c r="N12" s="77"/>
      <c r="O12" s="81">
        <v>17110.307169</v>
      </c>
      <c r="P12" s="81">
        <v>2433.4722</v>
      </c>
    </row>
    <row r="13" spans="1:16" ht="12.75">
      <c r="A13" s="82" t="s">
        <v>25</v>
      </c>
      <c r="B13" s="82">
        <v>2928844.9608</v>
      </c>
      <c r="C13" s="82">
        <v>1912434.978644</v>
      </c>
      <c r="D13" s="82">
        <v>1016409.9821610001</v>
      </c>
      <c r="E13" s="82">
        <v>255718.29105300002</v>
      </c>
      <c r="F13" s="82">
        <v>760691.6911080001</v>
      </c>
      <c r="G13" s="82">
        <v>474806.6957</v>
      </c>
      <c r="H13" s="82">
        <v>3813270.0904</v>
      </c>
      <c r="I13" s="82">
        <f>J13+K13</f>
        <v>2493236.6081000003</v>
      </c>
      <c r="J13" s="82">
        <v>350235.5824</v>
      </c>
      <c r="K13" s="82">
        <v>2143001.0257</v>
      </c>
      <c r="L13" s="82">
        <v>300618.399772</v>
      </c>
      <c r="M13" s="82">
        <v>252255.5087</v>
      </c>
      <c r="N13" s="77"/>
      <c r="O13" s="82">
        <v>199746.23469500002</v>
      </c>
      <c r="P13" s="82">
        <v>48033.8791</v>
      </c>
    </row>
    <row r="14" spans="1:16" ht="12.75">
      <c r="A14" s="82" t="s">
        <v>5</v>
      </c>
      <c r="B14" s="82">
        <v>1014327.0275</v>
      </c>
      <c r="C14" s="82">
        <v>901877.8733919999</v>
      </c>
      <c r="D14" s="82">
        <v>112449.154134</v>
      </c>
      <c r="E14" s="82">
        <v>28953.414749000003</v>
      </c>
      <c r="F14" s="82">
        <v>83495.73938500001</v>
      </c>
      <c r="G14" s="82">
        <v>419195.7512</v>
      </c>
      <c r="H14" s="82">
        <v>1607218.5498</v>
      </c>
      <c r="I14" s="82">
        <f aca="true" t="shared" si="0" ref="I14:I39">J14+K14</f>
        <v>1018487.9536</v>
      </c>
      <c r="J14" s="82">
        <v>124283.7643</v>
      </c>
      <c r="K14" s="82">
        <v>894204.1893</v>
      </c>
      <c r="L14" s="82">
        <v>113239.944094</v>
      </c>
      <c r="M14" s="82">
        <v>104241.7019</v>
      </c>
      <c r="N14" s="77"/>
      <c r="O14" s="82">
        <v>130725.88935200001</v>
      </c>
      <c r="P14" s="82">
        <v>4126.0377</v>
      </c>
    </row>
    <row r="15" spans="1:16" ht="12.75">
      <c r="A15" s="82" t="s">
        <v>6</v>
      </c>
      <c r="B15" s="82">
        <v>2443649.2337</v>
      </c>
      <c r="C15" s="82">
        <v>1977950.0912730002</v>
      </c>
      <c r="D15" s="82">
        <v>465699.14243600005</v>
      </c>
      <c r="E15" s="82">
        <v>287895.691536</v>
      </c>
      <c r="F15" s="82">
        <v>177803.45090000003</v>
      </c>
      <c r="G15" s="82">
        <v>420848.8046</v>
      </c>
      <c r="H15" s="82">
        <v>3071656.6414</v>
      </c>
      <c r="I15" s="82">
        <f t="shared" si="0"/>
        <v>1778240.7028</v>
      </c>
      <c r="J15" s="82">
        <v>167824.6987</v>
      </c>
      <c r="K15" s="82">
        <v>1610416.0041</v>
      </c>
      <c r="L15" s="82">
        <v>366429.12358700007</v>
      </c>
      <c r="M15" s="82">
        <v>325628.4845</v>
      </c>
      <c r="N15" s="77"/>
      <c r="O15" s="82">
        <v>196767.374853</v>
      </c>
      <c r="P15" s="82">
        <v>19642.91</v>
      </c>
    </row>
    <row r="16" spans="1:16" ht="12.75">
      <c r="A16" s="82" t="s">
        <v>7</v>
      </c>
      <c r="B16" s="82">
        <v>6672341.8046</v>
      </c>
      <c r="C16" s="82">
        <v>4839883.591811999</v>
      </c>
      <c r="D16" s="82">
        <v>1832458.2128380002</v>
      </c>
      <c r="E16" s="82">
        <v>696175.169633</v>
      </c>
      <c r="F16" s="82">
        <v>1136283.043205</v>
      </c>
      <c r="G16" s="82">
        <v>1026420.8608</v>
      </c>
      <c r="H16" s="82">
        <v>8567322.9682</v>
      </c>
      <c r="I16" s="82">
        <f t="shared" si="0"/>
        <v>4948427.9728</v>
      </c>
      <c r="J16" s="82">
        <v>1458915.2257</v>
      </c>
      <c r="K16" s="82">
        <v>3489512.7471</v>
      </c>
      <c r="L16" s="82">
        <v>1237660.783532</v>
      </c>
      <c r="M16" s="82">
        <v>521904.8633</v>
      </c>
      <c r="N16" s="77"/>
      <c r="O16" s="82">
        <v>524565.343302</v>
      </c>
      <c r="P16" s="82">
        <v>84685.2768</v>
      </c>
    </row>
    <row r="17" spans="1:16" ht="12.75">
      <c r="A17" s="82" t="s">
        <v>147</v>
      </c>
      <c r="B17" s="82">
        <v>4558053.9606</v>
      </c>
      <c r="C17" s="82">
        <v>3309332.860531</v>
      </c>
      <c r="D17" s="82">
        <v>1248721.1001540003</v>
      </c>
      <c r="E17" s="82">
        <v>521104.034784</v>
      </c>
      <c r="F17" s="82">
        <v>727617.0653700001</v>
      </c>
      <c r="G17" s="82">
        <v>712823.4454</v>
      </c>
      <c r="H17" s="82">
        <v>6376784.5953</v>
      </c>
      <c r="I17" s="82">
        <f t="shared" si="0"/>
        <v>3550406.8946</v>
      </c>
      <c r="J17" s="82">
        <v>1121738.4087</v>
      </c>
      <c r="K17" s="82">
        <v>2428668.4859</v>
      </c>
      <c r="L17" s="82">
        <v>694871.065647</v>
      </c>
      <c r="M17" s="82">
        <v>337189.6378</v>
      </c>
      <c r="N17" s="77"/>
      <c r="O17" s="82">
        <v>399239.244836</v>
      </c>
      <c r="P17" s="82">
        <v>41890.1666</v>
      </c>
    </row>
    <row r="18" spans="1:16" ht="12.75">
      <c r="A18" s="82" t="s">
        <v>8</v>
      </c>
      <c r="B18" s="82">
        <v>1413360.7506</v>
      </c>
      <c r="C18" s="82">
        <v>1137962.5316629997</v>
      </c>
      <c r="D18" s="82">
        <v>275398.218996</v>
      </c>
      <c r="E18" s="82">
        <v>34467.073339</v>
      </c>
      <c r="F18" s="82">
        <v>240931.145657</v>
      </c>
      <c r="G18" s="82">
        <v>71222.919</v>
      </c>
      <c r="H18" s="82">
        <v>1595259.4052</v>
      </c>
      <c r="I18" s="82">
        <f t="shared" si="0"/>
        <v>829594.6383</v>
      </c>
      <c r="J18" s="82">
        <v>157109.3072</v>
      </c>
      <c r="K18" s="82">
        <v>672485.3311</v>
      </c>
      <c r="L18" s="82">
        <v>376780.00384200003</v>
      </c>
      <c r="M18" s="82">
        <v>129565.6122</v>
      </c>
      <c r="N18" s="77"/>
      <c r="O18" s="82">
        <v>43217.642931999995</v>
      </c>
      <c r="P18" s="82">
        <v>24859.347</v>
      </c>
    </row>
    <row r="19" spans="1:16" ht="12.75">
      <c r="A19" s="82" t="s">
        <v>31</v>
      </c>
      <c r="B19" s="82">
        <v>3857.9634</v>
      </c>
      <c r="C19" s="82">
        <v>3857.963471</v>
      </c>
      <c r="D19" s="82">
        <v>0</v>
      </c>
      <c r="E19" s="82">
        <v>0</v>
      </c>
      <c r="F19" s="82">
        <v>0</v>
      </c>
      <c r="G19" s="82">
        <v>295364.0405</v>
      </c>
      <c r="H19" s="82">
        <v>369281.7592</v>
      </c>
      <c r="I19" s="82">
        <f t="shared" si="0"/>
        <v>203102.39419999998</v>
      </c>
      <c r="J19" s="82">
        <v>-5839.11950000003</v>
      </c>
      <c r="K19" s="82">
        <v>208941.5137</v>
      </c>
      <c r="L19" s="82">
        <v>0</v>
      </c>
      <c r="M19" s="82">
        <v>63486.4445</v>
      </c>
      <c r="N19" s="77"/>
      <c r="O19" s="82">
        <v>0</v>
      </c>
      <c r="P19" s="82">
        <v>0</v>
      </c>
    </row>
    <row r="20" spans="1:16" ht="12.75">
      <c r="A20" s="82" t="s">
        <v>11</v>
      </c>
      <c r="B20" s="82">
        <v>273249.5589</v>
      </c>
      <c r="C20" s="82">
        <v>8995.541475</v>
      </c>
      <c r="D20" s="82">
        <v>264254.01747</v>
      </c>
      <c r="E20" s="82">
        <v>213842.05881699998</v>
      </c>
      <c r="F20" s="82">
        <v>50411.958653</v>
      </c>
      <c r="G20" s="82">
        <v>7957.1205</v>
      </c>
      <c r="H20" s="82">
        <v>305463.0892</v>
      </c>
      <c r="I20" s="82">
        <f t="shared" si="0"/>
        <v>197728.0301</v>
      </c>
      <c r="J20" s="82">
        <v>3254.0232</v>
      </c>
      <c r="K20" s="82">
        <v>194474.0069</v>
      </c>
      <c r="L20" s="82">
        <v>39973.774367</v>
      </c>
      <c r="M20" s="82">
        <v>38056.3166</v>
      </c>
      <c r="N20" s="77"/>
      <c r="O20" s="82">
        <v>0</v>
      </c>
      <c r="P20" s="82">
        <v>505.5688</v>
      </c>
    </row>
    <row r="21" spans="1:16" ht="12.75">
      <c r="A21" s="82" t="s">
        <v>24</v>
      </c>
      <c r="B21" s="82">
        <v>85960.9845</v>
      </c>
      <c r="C21" s="82">
        <v>85960.984597</v>
      </c>
      <c r="D21" s="82">
        <v>0</v>
      </c>
      <c r="E21" s="82">
        <v>0</v>
      </c>
      <c r="F21" s="82">
        <v>0</v>
      </c>
      <c r="G21" s="82">
        <v>5433.8359</v>
      </c>
      <c r="H21" s="82">
        <v>108980.0784</v>
      </c>
      <c r="I21" s="82">
        <f t="shared" si="0"/>
        <v>73170.70460000001</v>
      </c>
      <c r="J21" s="82">
        <v>7140.6668</v>
      </c>
      <c r="K21" s="82">
        <v>66030.0378</v>
      </c>
      <c r="L21" s="82">
        <v>0</v>
      </c>
      <c r="M21" s="82">
        <v>14390.0866</v>
      </c>
      <c r="N21" s="77"/>
      <c r="O21" s="82">
        <v>3481.9137220000002</v>
      </c>
      <c r="P21" s="82">
        <v>1298.2918</v>
      </c>
    </row>
    <row r="22" spans="1:16" ht="12.75">
      <c r="A22" s="82" t="s">
        <v>29</v>
      </c>
      <c r="B22" s="82">
        <v>117091.4714</v>
      </c>
      <c r="C22" s="82">
        <v>117022.88392000004</v>
      </c>
      <c r="D22" s="82">
        <v>68.587562</v>
      </c>
      <c r="E22" s="82">
        <v>68.587562</v>
      </c>
      <c r="F22" s="82">
        <v>0</v>
      </c>
      <c r="G22" s="82">
        <v>172347.2056</v>
      </c>
      <c r="H22" s="82">
        <v>399437.4281</v>
      </c>
      <c r="I22" s="82">
        <f t="shared" si="0"/>
        <v>97662.6167</v>
      </c>
      <c r="J22" s="82">
        <v>10182.2797</v>
      </c>
      <c r="K22" s="82">
        <v>87480.337</v>
      </c>
      <c r="L22" s="82">
        <v>0</v>
      </c>
      <c r="M22" s="82">
        <v>89955.4859</v>
      </c>
      <c r="N22" s="77"/>
      <c r="O22" s="82">
        <v>21844.334558000002</v>
      </c>
      <c r="P22" s="82">
        <v>18.4616</v>
      </c>
    </row>
    <row r="23" spans="1:16" ht="12.75">
      <c r="A23" s="82" t="s">
        <v>9</v>
      </c>
      <c r="B23" s="82">
        <v>128979.5379</v>
      </c>
      <c r="C23" s="82">
        <v>127783.82440399998</v>
      </c>
      <c r="D23" s="82">
        <v>1195.7135</v>
      </c>
      <c r="E23" s="82">
        <v>303.20334</v>
      </c>
      <c r="F23" s="82">
        <v>892.51016</v>
      </c>
      <c r="G23" s="82">
        <v>30866.7945</v>
      </c>
      <c r="H23" s="82">
        <v>183371.2386</v>
      </c>
      <c r="I23" s="82">
        <f t="shared" si="0"/>
        <v>130706.9988</v>
      </c>
      <c r="J23" s="82">
        <v>17481.5953</v>
      </c>
      <c r="K23" s="82">
        <v>113225.4035</v>
      </c>
      <c r="L23" s="82">
        <v>5108.024853999999</v>
      </c>
      <c r="M23" s="82">
        <v>14984.6877</v>
      </c>
      <c r="N23" s="77"/>
      <c r="O23" s="82">
        <v>8361.917349</v>
      </c>
      <c r="P23" s="82">
        <v>2539.5381</v>
      </c>
    </row>
    <row r="24" spans="1:16" ht="12.75">
      <c r="A24" s="82" t="s">
        <v>26</v>
      </c>
      <c r="B24" s="82">
        <v>13396.613</v>
      </c>
      <c r="C24" s="82">
        <v>13396.613044000002</v>
      </c>
      <c r="D24" s="82">
        <v>0</v>
      </c>
      <c r="E24" s="82">
        <v>0</v>
      </c>
      <c r="F24" s="82">
        <v>0</v>
      </c>
      <c r="G24" s="82">
        <v>2932.0145</v>
      </c>
      <c r="H24" s="82">
        <v>28297.977</v>
      </c>
      <c r="I24" s="82">
        <f t="shared" si="0"/>
        <v>12852.8574</v>
      </c>
      <c r="J24" s="82">
        <v>993.5735</v>
      </c>
      <c r="K24" s="82">
        <v>11859.2839</v>
      </c>
      <c r="L24" s="82">
        <v>0</v>
      </c>
      <c r="M24" s="82">
        <v>8276.4935</v>
      </c>
      <c r="N24" s="77"/>
      <c r="O24" s="82">
        <v>0</v>
      </c>
      <c r="P24" s="82">
        <v>2.3132</v>
      </c>
    </row>
    <row r="25" spans="1:16" ht="12.75">
      <c r="A25" s="82" t="s">
        <v>110</v>
      </c>
      <c r="B25" s="82">
        <v>98926.5328</v>
      </c>
      <c r="C25" s="82">
        <v>1950.2613649999998</v>
      </c>
      <c r="D25" s="82">
        <v>96976.27150799999</v>
      </c>
      <c r="E25" s="82">
        <v>96976.27150799999</v>
      </c>
      <c r="F25" s="82">
        <v>0</v>
      </c>
      <c r="G25" s="82">
        <v>2552.3751</v>
      </c>
      <c r="H25" s="82">
        <v>110496.5522</v>
      </c>
      <c r="I25" s="82">
        <f t="shared" si="0"/>
        <v>89075.6216</v>
      </c>
      <c r="J25" s="82">
        <v>1910.9976</v>
      </c>
      <c r="K25" s="82">
        <v>87164.624</v>
      </c>
      <c r="L25" s="82">
        <v>0</v>
      </c>
      <c r="M25" s="82">
        <v>13836.6278</v>
      </c>
      <c r="N25" s="77"/>
      <c r="O25" s="82">
        <v>0</v>
      </c>
      <c r="P25" s="82">
        <v>367.1465</v>
      </c>
    </row>
    <row r="26" spans="1:16" ht="12.75">
      <c r="A26" s="82" t="s">
        <v>30</v>
      </c>
      <c r="B26" s="82">
        <v>498.4699</v>
      </c>
      <c r="C26" s="82">
        <v>498.469989</v>
      </c>
      <c r="D26" s="82">
        <v>0</v>
      </c>
      <c r="E26" s="82">
        <v>0</v>
      </c>
      <c r="F26" s="82">
        <v>0</v>
      </c>
      <c r="G26" s="82">
        <v>18552.3622</v>
      </c>
      <c r="H26" s="82">
        <v>41476.8584</v>
      </c>
      <c r="I26" s="82">
        <f t="shared" si="0"/>
        <v>14635.877400000001</v>
      </c>
      <c r="J26" s="82">
        <v>716.0583</v>
      </c>
      <c r="K26" s="82">
        <v>13919.8191</v>
      </c>
      <c r="L26" s="82">
        <v>0</v>
      </c>
      <c r="M26" s="82">
        <v>20984.748</v>
      </c>
      <c r="N26" s="77"/>
      <c r="O26" s="82">
        <v>0</v>
      </c>
      <c r="P26" s="82">
        <v>0</v>
      </c>
    </row>
    <row r="27" spans="1:16" ht="12.75">
      <c r="A27" s="82" t="s">
        <v>22</v>
      </c>
      <c r="B27" s="82">
        <v>97354.4572</v>
      </c>
      <c r="C27" s="82">
        <v>8609.457986</v>
      </c>
      <c r="D27" s="82">
        <v>88744.99921699999</v>
      </c>
      <c r="E27" s="82">
        <v>76739.029751</v>
      </c>
      <c r="F27" s="82">
        <v>12005.969466</v>
      </c>
      <c r="G27" s="82">
        <v>1007.546</v>
      </c>
      <c r="H27" s="82">
        <v>116503.1257</v>
      </c>
      <c r="I27" s="82">
        <f t="shared" si="0"/>
        <v>86977.4615</v>
      </c>
      <c r="J27" s="82">
        <v>2505.0114</v>
      </c>
      <c r="K27" s="82">
        <v>84472.4501</v>
      </c>
      <c r="L27" s="82">
        <v>12180.366552</v>
      </c>
      <c r="M27" s="82">
        <v>12449.4759</v>
      </c>
      <c r="N27" s="77"/>
      <c r="O27" s="82">
        <v>0</v>
      </c>
      <c r="P27" s="82">
        <v>99.1169</v>
      </c>
    </row>
    <row r="28" spans="1:16" ht="12.75">
      <c r="A28" s="82" t="s">
        <v>10</v>
      </c>
      <c r="B28" s="82">
        <v>8600110.7652</v>
      </c>
      <c r="C28" s="82">
        <v>5710957.976248</v>
      </c>
      <c r="D28" s="82">
        <v>2889152.789024</v>
      </c>
      <c r="E28" s="82">
        <v>1090113.660894</v>
      </c>
      <c r="F28" s="82">
        <v>1799039.1281299999</v>
      </c>
      <c r="G28" s="82">
        <v>1645598.7074</v>
      </c>
      <c r="H28" s="82">
        <v>11690613.4798</v>
      </c>
      <c r="I28" s="82">
        <f t="shared" si="0"/>
        <v>6220900.7332999995</v>
      </c>
      <c r="J28" s="82">
        <v>1681057.7287</v>
      </c>
      <c r="K28" s="82">
        <v>4539843.0046</v>
      </c>
      <c r="L28" s="82">
        <v>2049674.279985</v>
      </c>
      <c r="M28" s="82">
        <v>832959.0298</v>
      </c>
      <c r="N28" s="77"/>
      <c r="O28" s="82">
        <v>870794.356687</v>
      </c>
      <c r="P28" s="82">
        <v>130690.6103</v>
      </c>
    </row>
    <row r="29" spans="1:16" ht="12.75">
      <c r="A29" s="82" t="s">
        <v>32</v>
      </c>
      <c r="B29" s="82">
        <v>1187605.8365</v>
      </c>
      <c r="C29" s="82">
        <v>1078958.9129120007</v>
      </c>
      <c r="D29" s="82">
        <v>108646.923631</v>
      </c>
      <c r="E29" s="82">
        <v>19837.162197999998</v>
      </c>
      <c r="F29" s="82">
        <v>88809.761433</v>
      </c>
      <c r="G29" s="82">
        <v>224063.9377</v>
      </c>
      <c r="H29" s="82">
        <v>1567266.5768</v>
      </c>
      <c r="I29" s="82">
        <f t="shared" si="0"/>
        <v>999386.216</v>
      </c>
      <c r="J29" s="82">
        <v>89100.2143</v>
      </c>
      <c r="K29" s="82">
        <v>910286.0017</v>
      </c>
      <c r="L29" s="82">
        <v>147158.405312</v>
      </c>
      <c r="M29" s="82">
        <v>124004.1252</v>
      </c>
      <c r="N29" s="77"/>
      <c r="O29" s="82">
        <v>69807.220013</v>
      </c>
      <c r="P29" s="82">
        <v>9140.4807</v>
      </c>
    </row>
    <row r="30" spans="1:16" ht="12.75">
      <c r="A30" s="83" t="s">
        <v>21</v>
      </c>
      <c r="B30" s="83">
        <v>1161780.5431</v>
      </c>
      <c r="C30" s="83">
        <v>760154.5992770004</v>
      </c>
      <c r="D30" s="83">
        <v>401625.943873</v>
      </c>
      <c r="E30" s="83">
        <v>109541.42681799999</v>
      </c>
      <c r="F30" s="83">
        <v>292084.517055</v>
      </c>
      <c r="G30" s="83">
        <v>282178.9742</v>
      </c>
      <c r="H30" s="83">
        <v>1638137.9486</v>
      </c>
      <c r="I30" s="83">
        <f t="shared" si="0"/>
        <v>974824.6555000001</v>
      </c>
      <c r="J30" s="83">
        <v>196694.4694</v>
      </c>
      <c r="K30" s="83">
        <v>778130.1861</v>
      </c>
      <c r="L30" s="83">
        <v>246464.81623700002</v>
      </c>
      <c r="M30" s="83">
        <v>120161.8009</v>
      </c>
      <c r="N30" s="77"/>
      <c r="O30" s="83">
        <v>75162.208722</v>
      </c>
      <c r="P30" s="83">
        <v>23019.0349</v>
      </c>
    </row>
    <row r="31" ht="12.75">
      <c r="N31" s="77"/>
    </row>
    <row r="32" spans="1:16" ht="12.75">
      <c r="A32" s="79" t="s">
        <v>146</v>
      </c>
      <c r="B32" s="79">
        <v>5040240.5331</v>
      </c>
      <c r="C32" s="79">
        <v>2486312.6218210002</v>
      </c>
      <c r="D32" s="79">
        <v>2553927.911324</v>
      </c>
      <c r="E32" s="79">
        <v>534914.747042</v>
      </c>
      <c r="F32" s="79">
        <v>2019013.164282</v>
      </c>
      <c r="G32" s="79">
        <v>2544786.5938</v>
      </c>
      <c r="H32" s="79">
        <v>8501664.5004</v>
      </c>
      <c r="I32" s="79">
        <f t="shared" si="0"/>
        <v>4673167.2151999995</v>
      </c>
      <c r="J32" s="79">
        <v>1443501.1019</v>
      </c>
      <c r="K32" s="79">
        <v>3229666.1133</v>
      </c>
      <c r="L32" s="79">
        <v>2075139.4632779998</v>
      </c>
      <c r="M32" s="79">
        <v>367907.3031</v>
      </c>
      <c r="N32" s="84"/>
      <c r="O32" s="79">
        <v>149640.014283</v>
      </c>
      <c r="P32" s="79">
        <v>40951.058</v>
      </c>
    </row>
    <row r="33" ht="12.75">
      <c r="N33" s="77"/>
    </row>
    <row r="34" spans="1:16" s="49" customFormat="1" ht="12.75">
      <c r="A34" s="79" t="s">
        <v>23</v>
      </c>
      <c r="B34" s="79">
        <v>1778584.0836</v>
      </c>
      <c r="C34" s="79">
        <v>1098423.8079759998</v>
      </c>
      <c r="D34" s="79">
        <v>680160.275706</v>
      </c>
      <c r="E34" s="79">
        <v>411352.506026</v>
      </c>
      <c r="F34" s="79">
        <v>268807.76968</v>
      </c>
      <c r="G34" s="79">
        <v>839167.6745</v>
      </c>
      <c r="H34" s="79">
        <v>3067126.4572</v>
      </c>
      <c r="I34" s="79">
        <f t="shared" si="0"/>
        <v>1664421.458</v>
      </c>
      <c r="J34" s="79">
        <v>510471.0837</v>
      </c>
      <c r="K34" s="79">
        <v>1153950.3743</v>
      </c>
      <c r="L34" s="79">
        <v>287679.922385</v>
      </c>
      <c r="M34" s="79">
        <v>488963.2524</v>
      </c>
      <c r="N34" s="85"/>
      <c r="O34" s="79">
        <v>71732.547567</v>
      </c>
      <c r="P34" s="79">
        <v>20637.2833</v>
      </c>
    </row>
    <row r="35" spans="1:16" ht="12.75">
      <c r="A35" s="82" t="s">
        <v>34</v>
      </c>
      <c r="B35" s="82">
        <v>859520.9108</v>
      </c>
      <c r="C35" s="82">
        <v>496338.11953799997</v>
      </c>
      <c r="D35" s="82">
        <v>363182.791273</v>
      </c>
      <c r="E35" s="82">
        <v>157182.608757</v>
      </c>
      <c r="F35" s="82">
        <v>206000.182516</v>
      </c>
      <c r="G35" s="82">
        <v>150185.2689</v>
      </c>
      <c r="H35" s="82">
        <v>1217718.3432</v>
      </c>
      <c r="I35" s="82">
        <f>J35+K35</f>
        <v>714136.1104</v>
      </c>
      <c r="J35" s="82">
        <v>181598.8361</v>
      </c>
      <c r="K35" s="82">
        <v>532537.2743</v>
      </c>
      <c r="L35" s="82">
        <v>197390.05529199998</v>
      </c>
      <c r="M35" s="82">
        <v>101916.6225</v>
      </c>
      <c r="N35" s="77"/>
      <c r="O35" s="82">
        <v>26140.469233</v>
      </c>
      <c r="P35" s="82">
        <v>11490.6701</v>
      </c>
    </row>
    <row r="36" spans="1:16" ht="12.75">
      <c r="A36" s="82" t="s">
        <v>12</v>
      </c>
      <c r="B36" s="82">
        <v>848901.2994</v>
      </c>
      <c r="C36" s="82">
        <v>531996.8385919998</v>
      </c>
      <c r="D36" s="82">
        <v>316904.460848</v>
      </c>
      <c r="E36" s="82">
        <v>254096.87368400002</v>
      </c>
      <c r="F36" s="82">
        <v>62807.587164000004</v>
      </c>
      <c r="G36" s="82">
        <v>468162.5759</v>
      </c>
      <c r="H36" s="82">
        <v>1556057.15</v>
      </c>
      <c r="I36" s="82">
        <f t="shared" si="0"/>
        <v>863488.5841</v>
      </c>
      <c r="J36" s="82">
        <v>305324.4105</v>
      </c>
      <c r="K36" s="82">
        <v>558164.1736</v>
      </c>
      <c r="L36" s="82">
        <v>90289.867093</v>
      </c>
      <c r="M36" s="82">
        <v>231577.4518</v>
      </c>
      <c r="N36" s="77"/>
      <c r="O36" s="82">
        <v>40181.331763999995</v>
      </c>
      <c r="P36" s="82">
        <v>9031.9311</v>
      </c>
    </row>
    <row r="37" spans="1:16" ht="12.75">
      <c r="A37" s="82" t="s">
        <v>14</v>
      </c>
      <c r="B37" s="82">
        <v>13994.3152</v>
      </c>
      <c r="C37" s="82">
        <v>13944.283563</v>
      </c>
      <c r="D37" s="82">
        <v>50.031654</v>
      </c>
      <c r="E37" s="82">
        <v>50.031654</v>
      </c>
      <c r="F37" s="82">
        <v>0</v>
      </c>
      <c r="G37" s="82">
        <v>0</v>
      </c>
      <c r="H37" s="82">
        <v>16856.2846</v>
      </c>
      <c r="I37" s="82">
        <f t="shared" si="0"/>
        <v>2338.9683</v>
      </c>
      <c r="J37" s="82">
        <v>1448.8992</v>
      </c>
      <c r="K37" s="82">
        <v>890.0691</v>
      </c>
      <c r="L37" s="82">
        <v>0</v>
      </c>
      <c r="M37" s="82">
        <v>13179.8161</v>
      </c>
      <c r="N37" s="77"/>
      <c r="O37" s="82">
        <v>1499.502439</v>
      </c>
      <c r="P37" s="82">
        <v>114.682</v>
      </c>
    </row>
    <row r="38" spans="1:16" ht="12.75">
      <c r="A38" s="82" t="s">
        <v>13</v>
      </c>
      <c r="B38" s="82">
        <v>25343.1098</v>
      </c>
      <c r="C38" s="82">
        <v>25320.117967</v>
      </c>
      <c r="D38" s="82">
        <v>22.991931</v>
      </c>
      <c r="E38" s="82">
        <v>22.991931</v>
      </c>
      <c r="F38" s="82">
        <v>0</v>
      </c>
      <c r="G38" s="82">
        <v>0.8006</v>
      </c>
      <c r="H38" s="82">
        <v>29393.9082</v>
      </c>
      <c r="I38" s="82">
        <f t="shared" si="0"/>
        <v>5566.6207</v>
      </c>
      <c r="J38" s="82">
        <v>1728.0044</v>
      </c>
      <c r="K38" s="82">
        <v>3838.6163</v>
      </c>
      <c r="L38" s="82">
        <v>0</v>
      </c>
      <c r="M38" s="82">
        <v>20044.4172</v>
      </c>
      <c r="N38" s="77"/>
      <c r="O38" s="82">
        <v>2786.278742</v>
      </c>
      <c r="P38" s="82">
        <v>0</v>
      </c>
    </row>
    <row r="39" spans="1:16" ht="12.75">
      <c r="A39" s="82" t="s">
        <v>35</v>
      </c>
      <c r="B39" s="82">
        <v>23912.1387</v>
      </c>
      <c r="C39" s="82">
        <v>23912.138711</v>
      </c>
      <c r="D39" s="82">
        <v>0</v>
      </c>
      <c r="E39" s="82">
        <v>0</v>
      </c>
      <c r="F39" s="82">
        <v>0</v>
      </c>
      <c r="G39" s="82">
        <v>10724.7085</v>
      </c>
      <c r="H39" s="82">
        <v>45200.4839</v>
      </c>
      <c r="I39" s="82">
        <f t="shared" si="0"/>
        <v>25716.060100000002</v>
      </c>
      <c r="J39" s="82">
        <v>13966.0347</v>
      </c>
      <c r="K39" s="82">
        <v>11750.0254</v>
      </c>
      <c r="L39" s="82">
        <v>0</v>
      </c>
      <c r="M39" s="82">
        <v>14310.0113</v>
      </c>
      <c r="N39" s="77"/>
      <c r="O39" s="82">
        <v>1124.9653890000002</v>
      </c>
      <c r="P39" s="82">
        <v>0</v>
      </c>
    </row>
    <row r="40" spans="1:16" ht="12.75">
      <c r="A40" s="83" t="s">
        <v>33</v>
      </c>
      <c r="B40" s="83">
        <v>6912.3096</v>
      </c>
      <c r="C40" s="83">
        <v>6912.309605</v>
      </c>
      <c r="D40" s="83">
        <v>0</v>
      </c>
      <c r="E40" s="83">
        <v>0</v>
      </c>
      <c r="F40" s="83">
        <v>0</v>
      </c>
      <c r="G40" s="83">
        <v>210094.3204</v>
      </c>
      <c r="H40" s="83">
        <v>201900.2871</v>
      </c>
      <c r="I40" s="83">
        <f>J40+K40</f>
        <v>53175.1137</v>
      </c>
      <c r="J40" s="83">
        <v>6404.8984</v>
      </c>
      <c r="K40" s="83">
        <v>46770.2153</v>
      </c>
      <c r="L40" s="83">
        <v>0</v>
      </c>
      <c r="M40" s="83">
        <v>107934.9333</v>
      </c>
      <c r="N40" s="77"/>
      <c r="O40" s="83">
        <v>0</v>
      </c>
      <c r="P40" s="83">
        <v>0</v>
      </c>
    </row>
    <row r="41" spans="10:16" ht="12.75">
      <c r="J41" s="77"/>
      <c r="K41" s="77"/>
      <c r="L41" s="77"/>
      <c r="M41" s="77"/>
      <c r="N41" s="77"/>
      <c r="O41" s="77"/>
      <c r="P41" s="77"/>
    </row>
    <row r="42" spans="1:16" s="49" customFormat="1" ht="12.75">
      <c r="A42" s="78" t="s">
        <v>15</v>
      </c>
      <c r="B42" s="79">
        <v>37832930.5813</v>
      </c>
      <c r="C42" s="79">
        <v>25795859.439603012</v>
      </c>
      <c r="D42" s="79">
        <v>12037071.141782999</v>
      </c>
      <c r="E42" s="79">
        <v>4378045.033137</v>
      </c>
      <c r="F42" s="79">
        <v>7659026.108646</v>
      </c>
      <c r="G42" s="79">
        <v>9315623.6613</v>
      </c>
      <c r="H42" s="79">
        <v>53548506.2316</v>
      </c>
      <c r="I42" s="79">
        <f>J42+K42</f>
        <v>30143823.4513</v>
      </c>
      <c r="J42" s="79">
        <v>7368951.9443</v>
      </c>
      <c r="K42" s="79">
        <v>22774871.507</v>
      </c>
      <c r="L42" s="79">
        <v>7952978.373444</v>
      </c>
      <c r="M42" s="79">
        <v>3971062.8641</v>
      </c>
      <c r="N42" s="48"/>
      <c r="O42" s="79">
        <v>2782196.5500400006</v>
      </c>
      <c r="P42" s="79">
        <v>454939.9944</v>
      </c>
    </row>
    <row r="43" spans="1:16" s="49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8"/>
      <c r="O43" s="87"/>
      <c r="P43" s="87"/>
    </row>
    <row r="44" spans="1:16" s="49" customFormat="1" ht="12.75">
      <c r="A44" s="86" t="s">
        <v>27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48"/>
      <c r="O44" s="87"/>
      <c r="P44" s="87"/>
    </row>
    <row r="45" spans="1:16" s="49" customFormat="1" ht="12.75">
      <c r="A45" s="88" t="s">
        <v>145</v>
      </c>
      <c r="B45" s="88">
        <v>161845.5526</v>
      </c>
      <c r="C45" s="88">
        <v>6199.832591</v>
      </c>
      <c r="D45" s="88">
        <v>155645.72004</v>
      </c>
      <c r="E45" s="88">
        <v>155645.72004</v>
      </c>
      <c r="F45" s="88">
        <v>0</v>
      </c>
      <c r="G45" s="88">
        <v>34.5194</v>
      </c>
      <c r="H45" s="88">
        <v>190514.3874</v>
      </c>
      <c r="I45" s="88">
        <f>J45+K45</f>
        <v>140566.4279</v>
      </c>
      <c r="J45" s="88">
        <v>3473.5938</v>
      </c>
      <c r="K45" s="88">
        <v>137092.8341</v>
      </c>
      <c r="L45" s="88">
        <v>0</v>
      </c>
      <c r="M45" s="88">
        <v>22672.4187</v>
      </c>
      <c r="N45" s="48"/>
      <c r="O45" s="88">
        <v>0</v>
      </c>
      <c r="P45" s="88">
        <v>629.4325</v>
      </c>
    </row>
    <row r="46" spans="1:16" ht="12.75">
      <c r="A46" s="88" t="s">
        <v>144</v>
      </c>
      <c r="B46" s="88">
        <v>4396208.408</v>
      </c>
      <c r="C46" s="88">
        <v>3303133.02794</v>
      </c>
      <c r="D46" s="88">
        <v>1093075.3801140003</v>
      </c>
      <c r="E46" s="88">
        <v>365458.314744</v>
      </c>
      <c r="F46" s="88">
        <v>727617.0653700001</v>
      </c>
      <c r="G46" s="88">
        <v>712788.9259</v>
      </c>
      <c r="H46" s="88">
        <v>6234376.4672</v>
      </c>
      <c r="I46" s="88">
        <f>J46+K46</f>
        <v>3410043.8723</v>
      </c>
      <c r="J46" s="88">
        <v>1118468.2205</v>
      </c>
      <c r="K46" s="88">
        <v>2291575.6518</v>
      </c>
      <c r="L46" s="88">
        <v>694871.065647</v>
      </c>
      <c r="M46" s="88">
        <v>337189.6378</v>
      </c>
      <c r="O46" s="88">
        <v>399239.244836</v>
      </c>
      <c r="P46" s="88">
        <v>41260.734</v>
      </c>
    </row>
    <row r="47" ht="12.75">
      <c r="A47" s="45"/>
    </row>
    <row r="48" spans="1:13" ht="12.75">
      <c r="A48" s="3" t="s">
        <v>60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4" ht="12.75">
      <c r="A49" s="3" t="s">
        <v>143</v>
      </c>
      <c r="N49" s="49"/>
    </row>
    <row r="50" spans="1:14" ht="12.75">
      <c r="A50" s="3" t="s">
        <v>253</v>
      </c>
      <c r="N50" s="49"/>
    </row>
    <row r="51" ht="12.75">
      <c r="N51" s="49"/>
    </row>
    <row r="52" spans="1:14" ht="12.75">
      <c r="A52" s="3" t="s">
        <v>106</v>
      </c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7" ht="12.75">
      <c r="N57" s="49"/>
    </row>
    <row r="58" ht="12.75">
      <c r="N58" s="49"/>
    </row>
    <row r="59" ht="12.75">
      <c r="N59" s="49"/>
    </row>
    <row r="60" ht="12.75">
      <c r="N60" s="49"/>
    </row>
    <row r="61" ht="12.75">
      <c r="N61" s="49"/>
    </row>
    <row r="62" ht="12.75">
      <c r="N62" s="49"/>
    </row>
    <row r="64" spans="1:13" ht="12.75">
      <c r="A64" s="47"/>
      <c r="B64" s="49"/>
      <c r="C64" s="49"/>
      <c r="D64" s="49"/>
      <c r="E64" s="49"/>
      <c r="F64" s="49"/>
      <c r="G64" s="49"/>
      <c r="H64" s="49"/>
      <c r="I64" s="49"/>
      <c r="J64" s="48"/>
      <c r="K64" s="49"/>
      <c r="L64" s="49"/>
      <c r="M64" s="49"/>
    </row>
    <row r="65" spans="1:13" ht="12.75">
      <c r="A65" s="49" t="s">
        <v>17</v>
      </c>
      <c r="B65" s="49"/>
      <c r="C65" s="49"/>
      <c r="D65" s="49"/>
      <c r="E65" s="49"/>
      <c r="F65" s="49"/>
      <c r="G65" s="49"/>
      <c r="H65" s="49"/>
      <c r="I65" s="49"/>
      <c r="J65" s="48"/>
      <c r="K65" s="49"/>
      <c r="L65" s="49"/>
      <c r="M65" s="49"/>
    </row>
    <row r="66" spans="1:13" ht="12.75">
      <c r="A66" s="49" t="s">
        <v>18</v>
      </c>
      <c r="B66" s="49"/>
      <c r="C66" s="49"/>
      <c r="D66" s="49"/>
      <c r="E66" s="49"/>
      <c r="F66" s="49"/>
      <c r="G66" s="49"/>
      <c r="H66" s="49"/>
      <c r="I66" s="49"/>
      <c r="J66" s="48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8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7" t="s">
        <v>19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 t="s">
        <v>18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M76" s="49"/>
    </row>
    <row r="77" spans="1:13" ht="12.75">
      <c r="A77" s="49"/>
      <c r="M77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21" t="s">
        <v>161</v>
      </c>
      <c r="Q1" s="125" t="s">
        <v>168</v>
      </c>
    </row>
    <row r="2" ht="12.75">
      <c r="A2" s="121" t="s">
        <v>162</v>
      </c>
    </row>
    <row r="3" spans="1:17" ht="18">
      <c r="A3" s="185" t="s">
        <v>149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6" ht="12.75">
      <c r="A4" s="186" t="s">
        <v>93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2.75">
      <c r="A6" s="69"/>
      <c r="B6" s="69" t="s">
        <v>59</v>
      </c>
      <c r="C6" s="69" t="s">
        <v>39</v>
      </c>
      <c r="D6" s="69" t="s">
        <v>42</v>
      </c>
      <c r="E6" s="89" t="s">
        <v>43</v>
      </c>
      <c r="F6" s="129" t="s">
        <v>44</v>
      </c>
      <c r="G6" s="69" t="s">
        <v>47</v>
      </c>
      <c r="H6" s="69" t="s">
        <v>50</v>
      </c>
      <c r="I6" s="129" t="s">
        <v>44</v>
      </c>
      <c r="J6" s="69" t="s">
        <v>247</v>
      </c>
      <c r="K6" s="129" t="s">
        <v>248</v>
      </c>
      <c r="L6" s="69" t="s">
        <v>43</v>
      </c>
      <c r="M6" s="129" t="s">
        <v>44</v>
      </c>
      <c r="N6" s="69"/>
      <c r="O6" s="129" t="s">
        <v>44</v>
      </c>
      <c r="P6" s="90"/>
      <c r="Q6" s="69" t="s">
        <v>132</v>
      </c>
    </row>
    <row r="7" spans="1:17" ht="12.75">
      <c r="A7" s="72" t="s">
        <v>20</v>
      </c>
      <c r="B7" s="72" t="s">
        <v>57</v>
      </c>
      <c r="C7" s="72" t="s">
        <v>40</v>
      </c>
      <c r="D7" s="72" t="s">
        <v>249</v>
      </c>
      <c r="E7" s="67" t="s">
        <v>254</v>
      </c>
      <c r="F7" s="166" t="s">
        <v>45</v>
      </c>
      <c r="G7" s="72" t="s">
        <v>48</v>
      </c>
      <c r="H7" s="72" t="s">
        <v>51</v>
      </c>
      <c r="I7" s="166" t="s">
        <v>45</v>
      </c>
      <c r="J7" s="72" t="s">
        <v>100</v>
      </c>
      <c r="K7" s="166" t="s">
        <v>250</v>
      </c>
      <c r="L7" s="72" t="s">
        <v>54</v>
      </c>
      <c r="M7" s="166" t="s">
        <v>55</v>
      </c>
      <c r="N7" s="72" t="s">
        <v>96</v>
      </c>
      <c r="O7" s="166" t="s">
        <v>4</v>
      </c>
      <c r="P7" s="90"/>
      <c r="Q7" s="72" t="s">
        <v>133</v>
      </c>
    </row>
    <row r="8" spans="1:17" ht="12.75">
      <c r="A8" s="74"/>
      <c r="B8" s="74" t="s">
        <v>58</v>
      </c>
      <c r="C8" s="74"/>
      <c r="D8" s="74" t="s">
        <v>41</v>
      </c>
      <c r="E8" s="75" t="s">
        <v>255</v>
      </c>
      <c r="F8" s="167" t="s">
        <v>46</v>
      </c>
      <c r="G8" s="74" t="s">
        <v>45</v>
      </c>
      <c r="H8" s="74"/>
      <c r="I8" s="167" t="s">
        <v>52</v>
      </c>
      <c r="J8" s="74" t="s">
        <v>251</v>
      </c>
      <c r="K8" s="167" t="s">
        <v>252</v>
      </c>
      <c r="L8" s="74" t="s">
        <v>53</v>
      </c>
      <c r="M8" s="167" t="s">
        <v>56</v>
      </c>
      <c r="N8" s="74"/>
      <c r="O8" s="167"/>
      <c r="P8" s="90"/>
      <c r="Q8" s="74" t="s">
        <v>134</v>
      </c>
    </row>
    <row r="9" spans="3:15" ht="12.75">
      <c r="C9" s="77"/>
      <c r="D9" s="77"/>
      <c r="E9" s="77"/>
      <c r="F9" s="91"/>
      <c r="G9" s="77"/>
      <c r="H9" s="77"/>
      <c r="I9" s="91"/>
      <c r="J9" s="77"/>
      <c r="K9" s="91"/>
      <c r="L9" s="77"/>
      <c r="M9" s="91"/>
      <c r="N9" s="91"/>
      <c r="O9" s="64"/>
    </row>
    <row r="10" spans="1:17" ht="12.75">
      <c r="A10" s="78" t="s">
        <v>16</v>
      </c>
      <c r="B10" s="79">
        <v>1426276.1497</v>
      </c>
      <c r="C10" s="79">
        <v>361730.9989</v>
      </c>
      <c r="D10" s="79">
        <v>124213.4638</v>
      </c>
      <c r="E10" s="79">
        <v>-6429.549100000004</v>
      </c>
      <c r="F10" s="97">
        <v>1905791.0633</v>
      </c>
      <c r="G10" s="79">
        <v>952773.8823</v>
      </c>
      <c r="H10" s="79">
        <v>372449.5947</v>
      </c>
      <c r="I10" s="97">
        <v>580567.5863</v>
      </c>
      <c r="J10" s="79">
        <v>111252.59</v>
      </c>
      <c r="K10" s="97">
        <v>691820.1762999999</v>
      </c>
      <c r="L10" s="79">
        <v>-16384.639900000002</v>
      </c>
      <c r="M10" s="97">
        <v>675435.5363</v>
      </c>
      <c r="N10" s="79">
        <v>84627.8331</v>
      </c>
      <c r="O10" s="97">
        <v>590807.7032</v>
      </c>
      <c r="P10" s="90"/>
      <c r="Q10" s="79">
        <v>363578.620609</v>
      </c>
    </row>
    <row r="11" spans="1:17" ht="12.75">
      <c r="A11" s="81" t="s">
        <v>28</v>
      </c>
      <c r="B11" s="81">
        <v>11118.1712</v>
      </c>
      <c r="C11" s="81">
        <v>4509.7975</v>
      </c>
      <c r="D11" s="81">
        <v>90.2205</v>
      </c>
      <c r="E11" s="81">
        <v>-970.2792000000011</v>
      </c>
      <c r="F11" s="92">
        <v>14747.91</v>
      </c>
      <c r="G11" s="81">
        <v>10169.9872</v>
      </c>
      <c r="H11" s="81">
        <v>662.6257</v>
      </c>
      <c r="I11" s="92">
        <v>3915.2971000000002</v>
      </c>
      <c r="J11" s="81">
        <v>2.1519</v>
      </c>
      <c r="K11" s="92">
        <v>3917.449</v>
      </c>
      <c r="L11" s="81">
        <v>126.1435</v>
      </c>
      <c r="M11" s="92">
        <v>4043.5925</v>
      </c>
      <c r="N11" s="81">
        <v>653.8206</v>
      </c>
      <c r="O11" s="92">
        <v>3389.7718</v>
      </c>
      <c r="Q11" s="81">
        <v>411.489847</v>
      </c>
    </row>
    <row r="12" spans="1:17" ht="12.75">
      <c r="A12" s="82" t="s">
        <v>25</v>
      </c>
      <c r="B12" s="82">
        <v>96090.0569</v>
      </c>
      <c r="C12" s="82">
        <v>29827.348</v>
      </c>
      <c r="D12" s="82">
        <v>10802.2664</v>
      </c>
      <c r="E12" s="82">
        <v>-3476.09100000002</v>
      </c>
      <c r="F12" s="93">
        <v>133243.5803</v>
      </c>
      <c r="G12" s="82">
        <v>85501.9454</v>
      </c>
      <c r="H12" s="82">
        <v>41854.8274</v>
      </c>
      <c r="I12" s="93">
        <v>5886.807500000003</v>
      </c>
      <c r="J12" s="82">
        <v>6432.6992</v>
      </c>
      <c r="K12" s="93">
        <v>12319.506700000002</v>
      </c>
      <c r="L12" s="82">
        <v>3085.6503</v>
      </c>
      <c r="M12" s="93">
        <v>15405.157</v>
      </c>
      <c r="N12" s="82">
        <v>920.076</v>
      </c>
      <c r="O12" s="93">
        <v>14485.0809</v>
      </c>
      <c r="Q12" s="82">
        <v>33092.631764</v>
      </c>
    </row>
    <row r="13" spans="1:17" ht="12.75">
      <c r="A13" s="82" t="s">
        <v>5</v>
      </c>
      <c r="B13" s="82">
        <v>29996.2296</v>
      </c>
      <c r="C13" s="82">
        <v>6848.056</v>
      </c>
      <c r="D13" s="82">
        <v>362.19</v>
      </c>
      <c r="E13" s="82">
        <v>-2059.620500000079</v>
      </c>
      <c r="F13" s="93">
        <v>35146.8550999999</v>
      </c>
      <c r="G13" s="82">
        <v>22705.0704</v>
      </c>
      <c r="H13" s="82">
        <v>-59.9904000000097</v>
      </c>
      <c r="I13" s="93">
        <v>12501.775099999908</v>
      </c>
      <c r="J13" s="82">
        <v>5764.2497</v>
      </c>
      <c r="K13" s="93">
        <v>18266.02479999991</v>
      </c>
      <c r="L13" s="82">
        <v>-2469.21470000001</v>
      </c>
      <c r="M13" s="93">
        <v>15796.8099</v>
      </c>
      <c r="N13" s="82">
        <v>1543.1045</v>
      </c>
      <c r="O13" s="93">
        <v>14253.7053</v>
      </c>
      <c r="Q13" s="82">
        <v>2908.055313</v>
      </c>
    </row>
    <row r="14" spans="1:17" ht="12.75">
      <c r="A14" s="82" t="s">
        <v>6</v>
      </c>
      <c r="B14" s="82">
        <v>105085.6678</v>
      </c>
      <c r="C14" s="82">
        <v>17395.9503</v>
      </c>
      <c r="D14" s="82">
        <v>7536.2313</v>
      </c>
      <c r="E14" s="82">
        <v>-1098.0506000000296</v>
      </c>
      <c r="F14" s="93">
        <v>128919.7988</v>
      </c>
      <c r="G14" s="82">
        <v>50678.7387</v>
      </c>
      <c r="H14" s="82">
        <v>25655.6642</v>
      </c>
      <c r="I14" s="93">
        <v>52585.3959</v>
      </c>
      <c r="J14" s="82">
        <v>5607.3787</v>
      </c>
      <c r="K14" s="93">
        <v>58192.774600000004</v>
      </c>
      <c r="L14" s="82">
        <v>-2054.28659999999</v>
      </c>
      <c r="M14" s="93">
        <v>56138.4881</v>
      </c>
      <c r="N14" s="82">
        <v>5371.2185</v>
      </c>
      <c r="O14" s="93">
        <v>50767.2695</v>
      </c>
      <c r="Q14" s="82">
        <v>21420.762029</v>
      </c>
    </row>
    <row r="15" spans="1:17" ht="12.75">
      <c r="A15" s="82" t="s">
        <v>7</v>
      </c>
      <c r="B15" s="82">
        <v>303414.331</v>
      </c>
      <c r="C15" s="82">
        <v>87700.2129</v>
      </c>
      <c r="D15" s="82">
        <v>33735.8341</v>
      </c>
      <c r="E15" s="82">
        <v>-1188.1251000000298</v>
      </c>
      <c r="F15" s="93">
        <v>423662.2529</v>
      </c>
      <c r="G15" s="82">
        <v>203213.1894</v>
      </c>
      <c r="H15" s="82">
        <v>74069.4107</v>
      </c>
      <c r="I15" s="93">
        <v>146379.65280000004</v>
      </c>
      <c r="J15" s="82">
        <v>27742.4473</v>
      </c>
      <c r="K15" s="93">
        <v>174122.10010000004</v>
      </c>
      <c r="L15" s="82">
        <v>-7553.84160000004</v>
      </c>
      <c r="M15" s="93">
        <v>166568.2584</v>
      </c>
      <c r="N15" s="82">
        <v>13940.485</v>
      </c>
      <c r="O15" s="93">
        <v>152627.7733</v>
      </c>
      <c r="Q15" s="82">
        <v>98263.378759</v>
      </c>
    </row>
    <row r="16" spans="1:17" ht="12.75">
      <c r="A16" s="82" t="s">
        <v>147</v>
      </c>
      <c r="B16" s="82">
        <v>220392.2635</v>
      </c>
      <c r="C16" s="82">
        <v>58091.5473</v>
      </c>
      <c r="D16" s="82">
        <v>14664.3823</v>
      </c>
      <c r="E16" s="82">
        <v>7259.107799999939</v>
      </c>
      <c r="F16" s="93">
        <v>300407.3009</v>
      </c>
      <c r="G16" s="82">
        <v>156783.0333</v>
      </c>
      <c r="H16" s="82">
        <v>50027.8456</v>
      </c>
      <c r="I16" s="93">
        <v>93596.42199999996</v>
      </c>
      <c r="J16" s="82">
        <v>18165.96899999997</v>
      </c>
      <c r="K16" s="93">
        <v>111762.39099999993</v>
      </c>
      <c r="L16" s="82">
        <v>-8762.728200000009</v>
      </c>
      <c r="M16" s="93">
        <v>102999.6628</v>
      </c>
      <c r="N16" s="82">
        <v>14303.1747</v>
      </c>
      <c r="O16" s="93">
        <v>88696.488</v>
      </c>
      <c r="Q16" s="82">
        <v>40237.483843</v>
      </c>
    </row>
    <row r="17" spans="1:17" ht="12.75">
      <c r="A17" s="82" t="s">
        <v>8</v>
      </c>
      <c r="B17" s="82">
        <v>63318.3621</v>
      </c>
      <c r="C17" s="82">
        <v>20052.5412</v>
      </c>
      <c r="D17" s="82">
        <v>6614.5371</v>
      </c>
      <c r="E17" s="82">
        <v>-514.2166000000151</v>
      </c>
      <c r="F17" s="93">
        <v>89471.2238</v>
      </c>
      <c r="G17" s="82">
        <v>43946.6539</v>
      </c>
      <c r="H17" s="82">
        <v>22270.6127</v>
      </c>
      <c r="I17" s="93">
        <v>23253.957200000008</v>
      </c>
      <c r="J17" s="82">
        <v>2856.2096</v>
      </c>
      <c r="K17" s="93">
        <v>26110.166800000006</v>
      </c>
      <c r="L17" s="82">
        <v>-2850.14810000005</v>
      </c>
      <c r="M17" s="93">
        <v>23260.0187</v>
      </c>
      <c r="N17" s="82">
        <v>3188.0212</v>
      </c>
      <c r="O17" s="93">
        <v>20071.9974</v>
      </c>
      <c r="Q17" s="82">
        <v>23971.808597</v>
      </c>
    </row>
    <row r="18" spans="1:17" ht="12.75">
      <c r="A18" s="82" t="s">
        <v>31</v>
      </c>
      <c r="B18" s="82">
        <v>18463.4836</v>
      </c>
      <c r="C18" s="82">
        <v>-194.657000000007</v>
      </c>
      <c r="D18" s="82">
        <v>0</v>
      </c>
      <c r="E18" s="82">
        <v>614.9478999999899</v>
      </c>
      <c r="F18" s="93">
        <v>18883.7745</v>
      </c>
      <c r="G18" s="82">
        <v>3632.6943</v>
      </c>
      <c r="H18" s="82">
        <v>-235.18670000002</v>
      </c>
      <c r="I18" s="93">
        <v>15486.26690000002</v>
      </c>
      <c r="J18" s="82">
        <v>0</v>
      </c>
      <c r="K18" s="93">
        <v>15486.26690000002</v>
      </c>
      <c r="L18" s="82">
        <v>13.0256</v>
      </c>
      <c r="M18" s="93">
        <v>15499.2924</v>
      </c>
      <c r="N18" s="82">
        <v>2640.7768</v>
      </c>
      <c r="O18" s="93">
        <v>12858.5156</v>
      </c>
      <c r="Q18" s="82">
        <v>0</v>
      </c>
    </row>
    <row r="19" spans="1:17" ht="12.75">
      <c r="A19" s="82" t="s">
        <v>11</v>
      </c>
      <c r="B19" s="82">
        <v>32946.8696</v>
      </c>
      <c r="C19" s="82">
        <v>3190.1489</v>
      </c>
      <c r="D19" s="82">
        <v>2.6147</v>
      </c>
      <c r="E19" s="82">
        <v>-332.393300000079</v>
      </c>
      <c r="F19" s="93">
        <v>35807.2398999999</v>
      </c>
      <c r="G19" s="82">
        <v>15607.8134</v>
      </c>
      <c r="H19" s="82">
        <v>7638.4333</v>
      </c>
      <c r="I19" s="93">
        <v>12560.993199999899</v>
      </c>
      <c r="J19" s="82">
        <v>4.6928</v>
      </c>
      <c r="K19" s="93">
        <v>12565.6859999999</v>
      </c>
      <c r="L19" s="82">
        <v>48.9957</v>
      </c>
      <c r="M19" s="93">
        <v>12614.6817</v>
      </c>
      <c r="N19" s="82">
        <v>2115.5604</v>
      </c>
      <c r="O19" s="93">
        <v>10499.1213</v>
      </c>
      <c r="Q19" s="82">
        <v>5858.848628</v>
      </c>
    </row>
    <row r="20" spans="1:17" ht="12.75">
      <c r="A20" s="82" t="s">
        <v>24</v>
      </c>
      <c r="B20" s="82">
        <v>5023.9347</v>
      </c>
      <c r="C20" s="82">
        <v>297.0904</v>
      </c>
      <c r="D20" s="82">
        <v>330.8625</v>
      </c>
      <c r="E20" s="82">
        <v>932.8640999999745</v>
      </c>
      <c r="F20" s="93">
        <v>6584.75169999998</v>
      </c>
      <c r="G20" s="82">
        <v>7134.4865</v>
      </c>
      <c r="H20" s="82">
        <v>1771.321</v>
      </c>
      <c r="I20" s="93">
        <v>-2321.05580000002</v>
      </c>
      <c r="J20" s="82">
        <v>-2.0173000000068</v>
      </c>
      <c r="K20" s="93">
        <v>-2323.073100000027</v>
      </c>
      <c r="L20" s="82">
        <v>-16.344700000016</v>
      </c>
      <c r="M20" s="93">
        <v>-2339.4178</v>
      </c>
      <c r="N20" s="82">
        <v>-707.873900000006</v>
      </c>
      <c r="O20" s="93">
        <v>-1631.54390000005</v>
      </c>
      <c r="Q20" s="82">
        <v>1071.572754</v>
      </c>
    </row>
    <row r="21" spans="1:17" ht="12.75">
      <c r="A21" s="82" t="s">
        <v>29</v>
      </c>
      <c r="B21" s="82">
        <v>5823.235999999989</v>
      </c>
      <c r="C21" s="82">
        <v>121.6209</v>
      </c>
      <c r="D21" s="82">
        <v>0</v>
      </c>
      <c r="E21" s="82">
        <v>-1342.161000000077</v>
      </c>
      <c r="F21" s="93">
        <v>4602.69589999991</v>
      </c>
      <c r="G21" s="82">
        <v>5548.3191</v>
      </c>
      <c r="H21" s="82">
        <v>147.0092</v>
      </c>
      <c r="I21" s="93">
        <v>-1092.63240000009</v>
      </c>
      <c r="J21" s="82">
        <v>1.116</v>
      </c>
      <c r="K21" s="93">
        <v>-1091.51640000009</v>
      </c>
      <c r="L21" s="82">
        <v>105.3364</v>
      </c>
      <c r="M21" s="93">
        <v>-986.180200000003</v>
      </c>
      <c r="N21" s="82">
        <v>-163.875400000019</v>
      </c>
      <c r="O21" s="93">
        <v>-822.304800000042</v>
      </c>
      <c r="Q21" s="82">
        <v>128.233366</v>
      </c>
    </row>
    <row r="22" spans="1:17" ht="12.75">
      <c r="A22" s="82" t="s">
        <v>9</v>
      </c>
      <c r="B22" s="82">
        <v>8685.971</v>
      </c>
      <c r="C22" s="82">
        <v>1035.5731</v>
      </c>
      <c r="D22" s="82">
        <v>156.9908</v>
      </c>
      <c r="E22" s="82">
        <v>-185.27040000005076</v>
      </c>
      <c r="F22" s="93">
        <v>9693.26449999995</v>
      </c>
      <c r="G22" s="82">
        <v>6920.8598</v>
      </c>
      <c r="H22" s="82">
        <v>937.483</v>
      </c>
      <c r="I22" s="93">
        <v>1834.92169999995</v>
      </c>
      <c r="J22" s="82">
        <v>12.4258</v>
      </c>
      <c r="K22" s="93">
        <v>1847.34749999995</v>
      </c>
      <c r="L22" s="82">
        <v>-67.2618000000366</v>
      </c>
      <c r="M22" s="93">
        <v>1780.0856</v>
      </c>
      <c r="N22" s="82">
        <v>-37.10070000001</v>
      </c>
      <c r="O22" s="93">
        <v>1817.1864</v>
      </c>
      <c r="Q22" s="82">
        <v>725.616706</v>
      </c>
    </row>
    <row r="23" spans="1:17" ht="12.75">
      <c r="A23" s="82" t="s">
        <v>26</v>
      </c>
      <c r="B23" s="82">
        <v>1312.6372999999999</v>
      </c>
      <c r="C23" s="82">
        <v>39.2955</v>
      </c>
      <c r="D23" s="82">
        <v>0</v>
      </c>
      <c r="E23" s="82">
        <v>-104.78890000000901</v>
      </c>
      <c r="F23" s="93">
        <v>1247.14389999999</v>
      </c>
      <c r="G23" s="82">
        <v>1372.5039</v>
      </c>
      <c r="H23" s="82">
        <v>97.3212</v>
      </c>
      <c r="I23" s="93">
        <v>-222.6812000000099</v>
      </c>
      <c r="J23" s="82">
        <v>46.362</v>
      </c>
      <c r="K23" s="93">
        <v>-176.31920000000991</v>
      </c>
      <c r="L23" s="82">
        <v>167.598</v>
      </c>
      <c r="M23" s="93">
        <v>-8.72100000001956</v>
      </c>
      <c r="N23" s="82">
        <v>-19.4451000000117</v>
      </c>
      <c r="O23" s="93">
        <v>10.724</v>
      </c>
      <c r="Q23" s="82">
        <v>0</v>
      </c>
    </row>
    <row r="24" spans="1:17" ht="12.75">
      <c r="A24" s="82" t="s">
        <v>111</v>
      </c>
      <c r="B24" s="82">
        <v>1223.7808999999806</v>
      </c>
      <c r="C24" s="82">
        <v>513.6351</v>
      </c>
      <c r="D24" s="82">
        <v>4.7904</v>
      </c>
      <c r="E24" s="82">
        <v>-119.444200000026</v>
      </c>
      <c r="F24" s="93">
        <v>1622.76219999995</v>
      </c>
      <c r="G24" s="82">
        <v>607.4603</v>
      </c>
      <c r="H24" s="82">
        <v>892.8045</v>
      </c>
      <c r="I24" s="93">
        <v>122.49739999995018</v>
      </c>
      <c r="J24" s="82">
        <v>0</v>
      </c>
      <c r="K24" s="93">
        <v>122.49739999995018</v>
      </c>
      <c r="L24" s="82">
        <v>0</v>
      </c>
      <c r="M24" s="93">
        <v>122.4973</v>
      </c>
      <c r="N24" s="82">
        <v>20.8245</v>
      </c>
      <c r="O24" s="93">
        <v>101.6727</v>
      </c>
      <c r="Q24" s="82">
        <v>0</v>
      </c>
    </row>
    <row r="25" spans="1:17" ht="12.75">
      <c r="A25" s="82" t="s">
        <v>30</v>
      </c>
      <c r="B25" s="82">
        <v>262.17359999999996</v>
      </c>
      <c r="C25" s="82">
        <v>482.2622</v>
      </c>
      <c r="D25" s="82">
        <v>0</v>
      </c>
      <c r="E25" s="82">
        <v>-524.409700000018</v>
      </c>
      <c r="F25" s="93">
        <v>220.026099999982</v>
      </c>
      <c r="G25" s="82">
        <v>1638.6455</v>
      </c>
      <c r="H25" s="82">
        <v>0</v>
      </c>
      <c r="I25" s="93">
        <v>-1418.619400000018</v>
      </c>
      <c r="J25" s="82">
        <v>-319.644900000014</v>
      </c>
      <c r="K25" s="93">
        <v>-1738.264300000032</v>
      </c>
      <c r="L25" s="82">
        <v>-1.02840000001015</v>
      </c>
      <c r="M25" s="93">
        <v>-1739.2929</v>
      </c>
      <c r="N25" s="82">
        <v>-240.640100000019</v>
      </c>
      <c r="O25" s="93">
        <v>-1498.65270000004</v>
      </c>
      <c r="Q25" s="82">
        <v>0</v>
      </c>
    </row>
    <row r="26" spans="1:17" ht="12.75">
      <c r="A26" s="82" t="s">
        <v>22</v>
      </c>
      <c r="B26" s="82">
        <v>9896.2775</v>
      </c>
      <c r="C26" s="82">
        <v>2130.5907</v>
      </c>
      <c r="D26" s="82">
        <v>0</v>
      </c>
      <c r="E26" s="82">
        <v>107.34080000000502</v>
      </c>
      <c r="F26" s="93">
        <v>12134.209</v>
      </c>
      <c r="G26" s="82">
        <v>9072.0105</v>
      </c>
      <c r="H26" s="82">
        <v>2879.5909</v>
      </c>
      <c r="I26" s="93">
        <v>182.60760000000028</v>
      </c>
      <c r="J26" s="82">
        <v>267.5891</v>
      </c>
      <c r="K26" s="93">
        <v>450.19670000000025</v>
      </c>
      <c r="L26" s="82">
        <v>201.2651</v>
      </c>
      <c r="M26" s="93">
        <v>651.4618</v>
      </c>
      <c r="N26" s="82">
        <v>31.25</v>
      </c>
      <c r="O26" s="93">
        <v>620.2118</v>
      </c>
      <c r="Q26" s="82">
        <v>2394.418137</v>
      </c>
    </row>
    <row r="27" spans="1:17" ht="12.75">
      <c r="A27" s="82" t="s">
        <v>10</v>
      </c>
      <c r="B27" s="82">
        <v>430265.1636</v>
      </c>
      <c r="C27" s="82">
        <v>110984.5815</v>
      </c>
      <c r="D27" s="82">
        <v>46935.3691</v>
      </c>
      <c r="E27" s="82">
        <v>-1985.9880000000012</v>
      </c>
      <c r="F27" s="93">
        <v>586199.1262</v>
      </c>
      <c r="G27" s="82">
        <v>261104.9125</v>
      </c>
      <c r="H27" s="82">
        <v>126494.5993</v>
      </c>
      <c r="I27" s="93">
        <v>198599.61440000008</v>
      </c>
      <c r="J27" s="82">
        <v>35083.0227</v>
      </c>
      <c r="K27" s="93">
        <v>233682.63710000008</v>
      </c>
      <c r="L27" s="82">
        <v>3037.5512</v>
      </c>
      <c r="M27" s="93">
        <v>236720.1883</v>
      </c>
      <c r="N27" s="82">
        <v>37924.8428</v>
      </c>
      <c r="O27" s="93">
        <v>198795.3455</v>
      </c>
      <c r="Q27" s="82">
        <v>114225.992201</v>
      </c>
    </row>
    <row r="28" spans="1:17" ht="12.75">
      <c r="A28" s="82" t="s">
        <v>32</v>
      </c>
      <c r="B28" s="82">
        <v>40957.1278</v>
      </c>
      <c r="C28" s="82">
        <v>5385.629</v>
      </c>
      <c r="D28" s="82">
        <v>441.4267</v>
      </c>
      <c r="E28" s="82">
        <v>1771.2015000000001</v>
      </c>
      <c r="F28" s="93">
        <v>48555.385</v>
      </c>
      <c r="G28" s="82">
        <v>29537.4168</v>
      </c>
      <c r="H28" s="82">
        <v>9753.2429</v>
      </c>
      <c r="I28" s="93">
        <v>9264.725300000004</v>
      </c>
      <c r="J28" s="82">
        <v>5826.3481</v>
      </c>
      <c r="K28" s="93">
        <v>15091.073400000005</v>
      </c>
      <c r="L28" s="82">
        <v>658.0196</v>
      </c>
      <c r="M28" s="93">
        <v>15749.0931</v>
      </c>
      <c r="N28" s="82">
        <v>1725.2829</v>
      </c>
      <c r="O28" s="93">
        <v>14023.8102</v>
      </c>
      <c r="Q28" s="82">
        <v>7650.673763</v>
      </c>
    </row>
    <row r="29" spans="1:17" ht="12.75">
      <c r="A29" s="83" t="s">
        <v>21</v>
      </c>
      <c r="B29" s="83">
        <v>42000.411700000004</v>
      </c>
      <c r="C29" s="83">
        <v>13319.7746</v>
      </c>
      <c r="D29" s="83">
        <v>2535.747</v>
      </c>
      <c r="E29" s="83">
        <v>-3214.1719000000203</v>
      </c>
      <c r="F29" s="94">
        <v>54641.7614</v>
      </c>
      <c r="G29" s="83">
        <v>37598.1404</v>
      </c>
      <c r="H29" s="83">
        <v>7591.9796</v>
      </c>
      <c r="I29" s="94">
        <v>9451.641400000008</v>
      </c>
      <c r="J29" s="83">
        <v>3761.5899</v>
      </c>
      <c r="K29" s="94">
        <v>13213.231300000007</v>
      </c>
      <c r="L29" s="83">
        <v>-53.3711999999941</v>
      </c>
      <c r="M29" s="94">
        <v>13159.8602</v>
      </c>
      <c r="N29" s="83">
        <v>1418.33</v>
      </c>
      <c r="O29" s="94">
        <v>11741.5301</v>
      </c>
      <c r="Q29" s="83">
        <v>10668.844221</v>
      </c>
    </row>
    <row r="30" spans="6:15" ht="12.75">
      <c r="F30" s="64"/>
      <c r="I30" s="64"/>
      <c r="K30" s="64"/>
      <c r="M30" s="64"/>
      <c r="O30" s="64"/>
    </row>
    <row r="31" spans="1:17" ht="12.75">
      <c r="A31" s="79" t="s">
        <v>146</v>
      </c>
      <c r="B31" s="95">
        <v>208891.2101</v>
      </c>
      <c r="C31" s="79">
        <v>65119.0959</v>
      </c>
      <c r="D31" s="79">
        <v>22213.242</v>
      </c>
      <c r="E31" s="79">
        <v>20838.9894</v>
      </c>
      <c r="F31" s="97">
        <v>317062.5374</v>
      </c>
      <c r="G31" s="79">
        <v>194061.9826</v>
      </c>
      <c r="H31" s="79">
        <v>49990.7416</v>
      </c>
      <c r="I31" s="97">
        <v>73009.81319999998</v>
      </c>
      <c r="J31" s="79">
        <v>9852.1021</v>
      </c>
      <c r="K31" s="97">
        <v>82861.91529999998</v>
      </c>
      <c r="L31" s="79">
        <v>-1400.739</v>
      </c>
      <c r="M31" s="97">
        <v>81461.1765</v>
      </c>
      <c r="N31" s="79">
        <v>36899.4227</v>
      </c>
      <c r="O31" s="97">
        <v>44561.7537</v>
      </c>
      <c r="P31" s="80"/>
      <c r="Q31" s="95">
        <v>52900.08525</v>
      </c>
    </row>
    <row r="32" spans="1:17" ht="12.75">
      <c r="A32" s="80"/>
      <c r="B32" s="80"/>
      <c r="C32" s="80"/>
      <c r="D32" s="80"/>
      <c r="E32" s="80"/>
      <c r="F32" s="64"/>
      <c r="G32" s="80"/>
      <c r="H32" s="80"/>
      <c r="I32" s="64"/>
      <c r="J32" s="80"/>
      <c r="K32" s="64"/>
      <c r="L32" s="80"/>
      <c r="M32" s="64"/>
      <c r="N32" s="80"/>
      <c r="O32" s="64"/>
      <c r="P32" s="80"/>
      <c r="Q32" s="80"/>
    </row>
    <row r="33" spans="1:17" ht="12.75">
      <c r="A33" s="79" t="s">
        <v>23</v>
      </c>
      <c r="B33" s="79">
        <v>157474.00890000002</v>
      </c>
      <c r="C33" s="79">
        <v>28607.8633</v>
      </c>
      <c r="D33" s="79">
        <v>9595.6802</v>
      </c>
      <c r="E33" s="79">
        <v>-3157.8433000000505</v>
      </c>
      <c r="F33" s="97">
        <v>192519.7091</v>
      </c>
      <c r="G33" s="79">
        <v>144229.8515</v>
      </c>
      <c r="H33" s="79">
        <v>22689.8758</v>
      </c>
      <c r="I33" s="97">
        <v>25599.981800000016</v>
      </c>
      <c r="J33" s="79">
        <v>5854.9432</v>
      </c>
      <c r="K33" s="97">
        <v>31454.925000000017</v>
      </c>
      <c r="L33" s="79">
        <v>2624.1808</v>
      </c>
      <c r="M33" s="97">
        <v>34079.1059</v>
      </c>
      <c r="N33" s="95">
        <v>4818.2805</v>
      </c>
      <c r="O33" s="97">
        <v>29260.8254</v>
      </c>
      <c r="P33" s="80"/>
      <c r="Q33" s="79">
        <v>26708.419654</v>
      </c>
    </row>
    <row r="34" spans="1:17" ht="12.75">
      <c r="A34" s="82" t="s">
        <v>34</v>
      </c>
      <c r="B34" s="81">
        <v>44725.2583</v>
      </c>
      <c r="C34" s="82">
        <v>8925.9448</v>
      </c>
      <c r="D34" s="82">
        <v>1232.5392</v>
      </c>
      <c r="E34" s="82">
        <v>-1729.665100000043</v>
      </c>
      <c r="F34" s="93">
        <v>53154.0772</v>
      </c>
      <c r="G34" s="82">
        <v>43121.8483</v>
      </c>
      <c r="H34" s="82">
        <v>8041.5796</v>
      </c>
      <c r="I34" s="93">
        <v>1990.6493000000019</v>
      </c>
      <c r="J34" s="82">
        <v>1319.3793</v>
      </c>
      <c r="K34" s="93">
        <v>3310.028600000002</v>
      </c>
      <c r="L34" s="82">
        <v>111.0092</v>
      </c>
      <c r="M34" s="93">
        <v>3421.0378</v>
      </c>
      <c r="N34" s="82">
        <v>-347.004700000049</v>
      </c>
      <c r="O34" s="92">
        <v>3768.0426</v>
      </c>
      <c r="Q34" s="81">
        <v>6999.795061</v>
      </c>
    </row>
    <row r="35" spans="1:17" ht="12.75">
      <c r="A35" s="82" t="s">
        <v>12</v>
      </c>
      <c r="B35" s="82">
        <v>85604.14790000001</v>
      </c>
      <c r="C35" s="82">
        <v>19261.7863</v>
      </c>
      <c r="D35" s="82">
        <v>8152.6147</v>
      </c>
      <c r="E35" s="82">
        <v>-1832.8439000000494</v>
      </c>
      <c r="F35" s="93">
        <v>111185.705</v>
      </c>
      <c r="G35" s="82">
        <v>91945.1234</v>
      </c>
      <c r="H35" s="82">
        <v>13992.8799</v>
      </c>
      <c r="I35" s="93">
        <v>5247.701700000005</v>
      </c>
      <c r="J35" s="82">
        <v>4535.5638</v>
      </c>
      <c r="K35" s="93">
        <v>9783.265500000005</v>
      </c>
      <c r="L35" s="82">
        <v>2144.3294</v>
      </c>
      <c r="M35" s="93">
        <v>11927.5948</v>
      </c>
      <c r="N35" s="82">
        <v>1718.5064</v>
      </c>
      <c r="O35" s="93">
        <v>10209.0884</v>
      </c>
      <c r="Q35" s="82">
        <v>18636.090028</v>
      </c>
    </row>
    <row r="36" spans="1:17" ht="12.75">
      <c r="A36" s="82" t="s">
        <v>14</v>
      </c>
      <c r="B36" s="82">
        <v>8.745099999967977</v>
      </c>
      <c r="C36" s="82">
        <v>46.4493</v>
      </c>
      <c r="D36" s="82">
        <v>2.7301</v>
      </c>
      <c r="E36" s="82">
        <v>-294.273200000049</v>
      </c>
      <c r="F36" s="93">
        <v>-236.348700000081</v>
      </c>
      <c r="G36" s="82">
        <v>639.9222</v>
      </c>
      <c r="H36" s="82">
        <v>6.9239</v>
      </c>
      <c r="I36" s="93">
        <v>-883.1948000000809</v>
      </c>
      <c r="J36" s="82">
        <v>0</v>
      </c>
      <c r="K36" s="93">
        <v>-883.1948000000809</v>
      </c>
      <c r="L36" s="82">
        <v>129.2955</v>
      </c>
      <c r="M36" s="93">
        <v>-753.899100000039</v>
      </c>
      <c r="N36" s="82">
        <v>-3.76040000002831</v>
      </c>
      <c r="O36" s="93">
        <v>-750.138600000006</v>
      </c>
      <c r="Q36" s="82">
        <v>0.453726</v>
      </c>
    </row>
    <row r="37" spans="1:17" ht="12.75">
      <c r="A37" s="82" t="s">
        <v>13</v>
      </c>
      <c r="B37" s="82">
        <v>2158.9598</v>
      </c>
      <c r="C37" s="82">
        <v>72.6618</v>
      </c>
      <c r="D37" s="82">
        <v>207.7961</v>
      </c>
      <c r="E37" s="82">
        <v>-481.72589999999605</v>
      </c>
      <c r="F37" s="93">
        <v>1957.6918</v>
      </c>
      <c r="G37" s="82">
        <v>1592.326</v>
      </c>
      <c r="H37" s="82">
        <v>748.9474</v>
      </c>
      <c r="I37" s="93">
        <v>-383.5816</v>
      </c>
      <c r="J37" s="82">
        <v>0</v>
      </c>
      <c r="K37" s="93">
        <v>-383.5816</v>
      </c>
      <c r="L37" s="82">
        <v>165.2593</v>
      </c>
      <c r="M37" s="93">
        <v>-218.322100000049</v>
      </c>
      <c r="N37" s="82">
        <v>134.196</v>
      </c>
      <c r="O37" s="93">
        <v>-352.518100000045</v>
      </c>
      <c r="Q37" s="82">
        <v>1072.080839</v>
      </c>
    </row>
    <row r="38" spans="1:17" ht="12.75">
      <c r="A38" s="82" t="s">
        <v>35</v>
      </c>
      <c r="B38" s="82">
        <v>630.4012</v>
      </c>
      <c r="C38" s="82">
        <v>164.2426</v>
      </c>
      <c r="D38" s="82">
        <v>0</v>
      </c>
      <c r="E38" s="82">
        <v>-334.8261000000061</v>
      </c>
      <c r="F38" s="93">
        <v>459.817699999994</v>
      </c>
      <c r="G38" s="82">
        <v>1279.0997</v>
      </c>
      <c r="H38" s="82">
        <v>-4.24800000002142</v>
      </c>
      <c r="I38" s="93">
        <v>-815.0339999999846</v>
      </c>
      <c r="J38" s="82">
        <v>0</v>
      </c>
      <c r="K38" s="93">
        <v>-815.0339999999846</v>
      </c>
      <c r="L38" s="82">
        <v>97.4632</v>
      </c>
      <c r="M38" s="93">
        <v>-717.57070000004</v>
      </c>
      <c r="N38" s="82">
        <v>0</v>
      </c>
      <c r="O38" s="93">
        <v>-717.57070000004</v>
      </c>
      <c r="Q38" s="82">
        <v>0</v>
      </c>
    </row>
    <row r="39" spans="1:17" ht="12.75">
      <c r="A39" s="83" t="s">
        <v>33</v>
      </c>
      <c r="B39" s="83">
        <v>24346.4966</v>
      </c>
      <c r="C39" s="83">
        <v>136.7783</v>
      </c>
      <c r="D39" s="83">
        <v>0</v>
      </c>
      <c r="E39" s="83">
        <v>1515.4909999999297</v>
      </c>
      <c r="F39" s="94">
        <v>25998.7658999999</v>
      </c>
      <c r="G39" s="83">
        <v>5651.5317</v>
      </c>
      <c r="H39" s="83">
        <v>-96.2072000000044</v>
      </c>
      <c r="I39" s="94">
        <v>20443.441399999905</v>
      </c>
      <c r="J39" s="83">
        <v>0</v>
      </c>
      <c r="K39" s="94">
        <v>20443.441399999905</v>
      </c>
      <c r="L39" s="83">
        <v>-23.1760000000359</v>
      </c>
      <c r="M39" s="94">
        <v>20420.2653</v>
      </c>
      <c r="N39" s="83">
        <v>3316.3433</v>
      </c>
      <c r="O39" s="94">
        <v>17103.9219</v>
      </c>
      <c r="Q39" s="83">
        <v>0</v>
      </c>
    </row>
    <row r="40" spans="2:17" ht="12.75">
      <c r="B40" s="77"/>
      <c r="F40" s="91"/>
      <c r="G40" s="77"/>
      <c r="H40" s="77"/>
      <c r="I40" s="91"/>
      <c r="J40" s="77"/>
      <c r="K40" s="91"/>
      <c r="L40" s="77"/>
      <c r="M40" s="91"/>
      <c r="N40" s="77"/>
      <c r="O40" s="91"/>
      <c r="Q40" s="77"/>
    </row>
    <row r="41" spans="1:17" ht="12.75">
      <c r="A41" s="78" t="s">
        <v>15</v>
      </c>
      <c r="B41" s="79">
        <v>1792641.3689000001</v>
      </c>
      <c r="C41" s="79">
        <v>455457.9583</v>
      </c>
      <c r="D41" s="79">
        <v>156022.3861</v>
      </c>
      <c r="E41" s="79">
        <v>11251.596899999997</v>
      </c>
      <c r="F41" s="97">
        <v>2415373.3102</v>
      </c>
      <c r="G41" s="79">
        <v>1291065.7165</v>
      </c>
      <c r="H41" s="79">
        <v>445130.2122</v>
      </c>
      <c r="I41" s="97">
        <v>679177.3815000001</v>
      </c>
      <c r="J41" s="79">
        <v>126959.6354</v>
      </c>
      <c r="K41" s="97">
        <v>806137.0169</v>
      </c>
      <c r="L41" s="79">
        <v>-15161.1981</v>
      </c>
      <c r="M41" s="97">
        <v>790975.8188</v>
      </c>
      <c r="N41" s="95">
        <v>126345.5363</v>
      </c>
      <c r="O41" s="97">
        <v>664630.2824</v>
      </c>
      <c r="Q41" s="79">
        <v>443187.125513</v>
      </c>
    </row>
    <row r="42" spans="1:17" ht="12.75">
      <c r="A42" s="86"/>
      <c r="B42" s="87"/>
      <c r="C42" s="87"/>
      <c r="D42" s="87"/>
      <c r="E42" s="87"/>
      <c r="F42" s="34"/>
      <c r="G42" s="87"/>
      <c r="H42" s="87"/>
      <c r="I42" s="34"/>
      <c r="J42" s="87"/>
      <c r="K42" s="34"/>
      <c r="L42" s="87"/>
      <c r="M42" s="34"/>
      <c r="N42" s="96"/>
      <c r="O42" s="34"/>
      <c r="Q42" s="87"/>
    </row>
    <row r="43" spans="1:17" ht="12.75">
      <c r="A43" s="86" t="s">
        <v>27</v>
      </c>
      <c r="B43" s="87"/>
      <c r="C43" s="87"/>
      <c r="D43" s="87"/>
      <c r="E43" s="87"/>
      <c r="F43" s="34"/>
      <c r="G43" s="87"/>
      <c r="H43" s="87"/>
      <c r="I43" s="34"/>
      <c r="J43" s="87"/>
      <c r="K43" s="34"/>
      <c r="L43" s="87"/>
      <c r="M43" s="34"/>
      <c r="N43" s="96"/>
      <c r="O43" s="34"/>
      <c r="Q43" s="87"/>
    </row>
    <row r="44" spans="1:17" ht="12.75">
      <c r="A44" s="88" t="s">
        <v>145</v>
      </c>
      <c r="B44" s="88">
        <v>40739.1206</v>
      </c>
      <c r="C44" s="88">
        <v>2908.0899</v>
      </c>
      <c r="D44" s="88">
        <v>4431.6686</v>
      </c>
      <c r="E44" s="88">
        <v>-2444.3116000000737</v>
      </c>
      <c r="F44" s="97">
        <v>45634.5674999999</v>
      </c>
      <c r="G44" s="88">
        <v>25750.7287</v>
      </c>
      <c r="H44" s="88">
        <v>10031.3151</v>
      </c>
      <c r="I44" s="97">
        <v>9852.523699999903</v>
      </c>
      <c r="J44" s="88">
        <v>1543.5872</v>
      </c>
      <c r="K44" s="97">
        <v>11396.110899999903</v>
      </c>
      <c r="L44" s="88">
        <v>158.0037</v>
      </c>
      <c r="M44" s="97">
        <v>11554.1144</v>
      </c>
      <c r="N44" s="88">
        <v>1478.5867</v>
      </c>
      <c r="O44" s="97">
        <v>10075.5277</v>
      </c>
      <c r="Q44" s="88">
        <v>11536.749446</v>
      </c>
    </row>
    <row r="45" spans="1:17" ht="12.75">
      <c r="A45" s="88" t="s">
        <v>144</v>
      </c>
      <c r="B45" s="88">
        <v>179653.1429</v>
      </c>
      <c r="C45" s="88">
        <v>55183.4573</v>
      </c>
      <c r="D45" s="88">
        <v>10232.7137</v>
      </c>
      <c r="E45" s="88">
        <v>9703.419399999988</v>
      </c>
      <c r="F45" s="97">
        <v>254772.7333</v>
      </c>
      <c r="G45" s="88">
        <v>131022.229</v>
      </c>
      <c r="H45" s="88">
        <v>39996.5304</v>
      </c>
      <c r="I45" s="97">
        <v>83753.97389999998</v>
      </c>
      <c r="J45" s="88">
        <v>26687.83389999997</v>
      </c>
      <c r="K45" s="97">
        <v>110441.80779999995</v>
      </c>
      <c r="L45" s="88">
        <v>-8920.731900000019</v>
      </c>
      <c r="M45" s="97">
        <v>101521.076</v>
      </c>
      <c r="N45" s="88">
        <v>12824.5879</v>
      </c>
      <c r="O45" s="97">
        <v>88696.488</v>
      </c>
      <c r="Q45" s="88">
        <v>28700.734397</v>
      </c>
    </row>
    <row r="46" ht="12.75">
      <c r="A46" s="45"/>
    </row>
    <row r="47" spans="1:15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ht="12.75">
      <c r="A48" s="3" t="s">
        <v>143</v>
      </c>
    </row>
    <row r="49" ht="12.75">
      <c r="A49" s="3" t="s">
        <v>253</v>
      </c>
    </row>
    <row r="51" ht="12.75">
      <c r="A51" s="3" t="s">
        <v>106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21" t="s">
        <v>161</v>
      </c>
      <c r="L1" s="125" t="s">
        <v>168</v>
      </c>
    </row>
    <row r="2" spans="1:12" ht="12.75">
      <c r="A2" s="121" t="s">
        <v>162</v>
      </c>
      <c r="L2" s="125"/>
    </row>
    <row r="3" spans="1:12" ht="18">
      <c r="A3" s="185" t="s">
        <v>160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2.75">
      <c r="A4" s="186" t="s">
        <v>94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69"/>
      <c r="B6" s="182" t="s">
        <v>155</v>
      </c>
      <c r="C6" s="183"/>
      <c r="D6" s="183"/>
      <c r="E6" s="183"/>
      <c r="F6" s="184"/>
      <c r="G6" s="182" t="s">
        <v>88</v>
      </c>
      <c r="H6" s="184"/>
      <c r="I6" s="182" t="s">
        <v>92</v>
      </c>
      <c r="J6" s="184"/>
      <c r="K6" s="182" t="s">
        <v>156</v>
      </c>
      <c r="L6" s="184"/>
    </row>
    <row r="7" spans="1:12" ht="12.75">
      <c r="A7" s="72" t="s">
        <v>20</v>
      </c>
      <c r="B7" s="182" t="s">
        <v>0</v>
      </c>
      <c r="C7" s="183"/>
      <c r="D7" s="183"/>
      <c r="E7" s="183"/>
      <c r="F7" s="184"/>
      <c r="G7" s="98" t="s">
        <v>90</v>
      </c>
      <c r="H7" s="99" t="s">
        <v>91</v>
      </c>
      <c r="I7" s="99" t="s">
        <v>112</v>
      </c>
      <c r="J7" s="99" t="s">
        <v>112</v>
      </c>
      <c r="K7" s="72" t="s">
        <v>113</v>
      </c>
      <c r="L7" s="72" t="s">
        <v>114</v>
      </c>
    </row>
    <row r="8" spans="1:12" ht="12.75">
      <c r="A8" s="74"/>
      <c r="B8" s="75" t="s">
        <v>98</v>
      </c>
      <c r="C8" s="74" t="s">
        <v>99</v>
      </c>
      <c r="D8" s="74" t="s">
        <v>97</v>
      </c>
      <c r="E8" s="74" t="s">
        <v>36</v>
      </c>
      <c r="F8" s="74" t="s">
        <v>109</v>
      </c>
      <c r="G8" s="75" t="s">
        <v>89</v>
      </c>
      <c r="H8" s="74" t="s">
        <v>89</v>
      </c>
      <c r="I8" s="74" t="s">
        <v>116</v>
      </c>
      <c r="J8" s="74" t="s">
        <v>115</v>
      </c>
      <c r="K8" s="74"/>
      <c r="L8" s="74"/>
    </row>
    <row r="9" spans="2:10" ht="12.75">
      <c r="B9" s="77"/>
      <c r="C9" s="77"/>
      <c r="D9" s="77"/>
      <c r="E9" s="77"/>
      <c r="F9" s="77"/>
      <c r="G9" s="77"/>
      <c r="H9" s="77"/>
      <c r="I9" s="77"/>
      <c r="J9" s="77"/>
    </row>
    <row r="10" spans="1:12" ht="12.75">
      <c r="A10" s="78" t="s">
        <v>16</v>
      </c>
      <c r="B10" s="100">
        <v>11.127545976428008</v>
      </c>
      <c r="C10" s="100">
        <v>7.7512947505179755</v>
      </c>
      <c r="D10" s="100">
        <v>20.667427185951773</v>
      </c>
      <c r="E10" s="100">
        <v>16.221072773405407</v>
      </c>
      <c r="F10" s="100">
        <v>23.69088782654209</v>
      </c>
      <c r="G10" s="100">
        <v>2.00304283254555</v>
      </c>
      <c r="H10" s="100">
        <v>1.26829918473306</v>
      </c>
      <c r="I10" s="100">
        <v>49.9936168579892</v>
      </c>
      <c r="J10" s="100">
        <v>2.26960539414291</v>
      </c>
      <c r="K10" s="101">
        <v>0.21688947546894902</v>
      </c>
      <c r="L10" s="102">
        <v>0.189714585572454</v>
      </c>
    </row>
    <row r="11" spans="1:12" ht="12.75">
      <c r="A11" s="81" t="s">
        <v>28</v>
      </c>
      <c r="B11" s="103">
        <v>2.796416308914881</v>
      </c>
      <c r="C11" s="103">
        <v>4.345499800595444</v>
      </c>
      <c r="D11" s="103">
        <v>-72.08269650727699</v>
      </c>
      <c r="E11" s="103">
        <v>-98.70630434392938</v>
      </c>
      <c r="F11" s="103">
        <v>22.14841522229666</v>
      </c>
      <c r="G11" s="103">
        <v>1.08646398928681</v>
      </c>
      <c r="H11" s="103">
        <v>1.13334728543947</v>
      </c>
      <c r="I11" s="103">
        <v>68.9588368792595</v>
      </c>
      <c r="J11" s="103">
        <v>2.61522011658605</v>
      </c>
      <c r="K11" s="104">
        <v>0.0449982144513805</v>
      </c>
      <c r="L11" s="105">
        <v>0.037722317072663</v>
      </c>
    </row>
    <row r="12" spans="1:12" ht="12.75">
      <c r="A12" s="82" t="s">
        <v>25</v>
      </c>
      <c r="B12" s="106">
        <v>18.85379716194972</v>
      </c>
      <c r="C12" s="106">
        <v>21.82220369777121</v>
      </c>
      <c r="D12" s="106">
        <v>13.643536801288372</v>
      </c>
      <c r="E12" s="106">
        <v>-3.517896948222095</v>
      </c>
      <c r="F12" s="106">
        <v>20.870931921274313</v>
      </c>
      <c r="G12" s="106">
        <v>2.04183426573953</v>
      </c>
      <c r="H12" s="106">
        <v>1.64002805689243</v>
      </c>
      <c r="I12" s="106">
        <v>64.1696547086854</v>
      </c>
      <c r="J12" s="106">
        <v>2.24222106939797</v>
      </c>
      <c r="K12" s="107">
        <v>0.0610696554433659</v>
      </c>
      <c r="L12" s="108">
        <v>0.057422257990118596</v>
      </c>
    </row>
    <row r="13" spans="1:12" ht="12.75">
      <c r="A13" s="82" t="s">
        <v>5</v>
      </c>
      <c r="B13" s="106">
        <v>6.921838540632817</v>
      </c>
      <c r="C13" s="106">
        <v>7.996382744349663</v>
      </c>
      <c r="D13" s="106">
        <v>-0.9800233576658488</v>
      </c>
      <c r="E13" s="106">
        <v>-3.8721292391769544</v>
      </c>
      <c r="F13" s="106">
        <v>0.06392223366461969</v>
      </c>
      <c r="G13" s="106">
        <v>1.25946728753612</v>
      </c>
      <c r="H13" s="106">
        <v>0.406775880769873</v>
      </c>
      <c r="I13" s="106">
        <v>64.6005747467291</v>
      </c>
      <c r="J13" s="106">
        <v>1.41269340145591</v>
      </c>
      <c r="K13" s="107">
        <v>0.151540214828361</v>
      </c>
      <c r="L13" s="108">
        <v>0.136737073936818</v>
      </c>
    </row>
    <row r="14" spans="1:12" ht="12.75">
      <c r="A14" s="82" t="s">
        <v>6</v>
      </c>
      <c r="B14" s="106">
        <v>14.097208241261278</v>
      </c>
      <c r="C14" s="106">
        <v>10.598670596021313</v>
      </c>
      <c r="D14" s="106">
        <v>31.80566013830498</v>
      </c>
      <c r="E14" s="106">
        <v>19.69238798176398</v>
      </c>
      <c r="F14" s="106">
        <v>57.637081862626324</v>
      </c>
      <c r="G14" s="106">
        <v>1.70280080815839</v>
      </c>
      <c r="H14" s="106">
        <v>0.803835089304454</v>
      </c>
      <c r="I14" s="106">
        <v>39.3102837358757</v>
      </c>
      <c r="J14" s="106">
        <v>1.6498829334291</v>
      </c>
      <c r="K14" s="107">
        <v>0.172400421867885</v>
      </c>
      <c r="L14" s="108">
        <v>0.155905493273885</v>
      </c>
    </row>
    <row r="15" spans="1:12" ht="12.75">
      <c r="A15" s="82" t="s">
        <v>7</v>
      </c>
      <c r="B15" s="106">
        <v>7.330018489011388</v>
      </c>
      <c r="C15" s="106">
        <v>3.2369543948548047</v>
      </c>
      <c r="D15" s="106">
        <v>19.883804279281534</v>
      </c>
      <c r="E15" s="106">
        <v>16.927233148912908</v>
      </c>
      <c r="F15" s="106">
        <v>21.770256822908046</v>
      </c>
      <c r="G15" s="106">
        <v>2.23319196713324</v>
      </c>
      <c r="H15" s="106">
        <v>1.2691987203296</v>
      </c>
      <c r="I15" s="106">
        <v>47.965847325078</v>
      </c>
      <c r="J15" s="106">
        <v>2.37195667951684</v>
      </c>
      <c r="K15" s="107">
        <v>0.319154447702959</v>
      </c>
      <c r="L15" s="108">
        <v>0.292443669397782</v>
      </c>
    </row>
    <row r="16" spans="1:12" ht="12.75">
      <c r="A16" s="82" t="s">
        <v>147</v>
      </c>
      <c r="B16" s="109" t="s">
        <v>101</v>
      </c>
      <c r="C16" s="109" t="s">
        <v>101</v>
      </c>
      <c r="D16" s="109" t="s">
        <v>101</v>
      </c>
      <c r="E16" s="109" t="s">
        <v>101</v>
      </c>
      <c r="F16" s="109" t="s">
        <v>101</v>
      </c>
      <c r="G16" s="106">
        <v>1.89745192899417</v>
      </c>
      <c r="H16" s="106">
        <v>0.919036215062399</v>
      </c>
      <c r="I16" s="106">
        <v>52.190154110865</v>
      </c>
      <c r="J16" s="106">
        <v>2.45865343194369</v>
      </c>
      <c r="K16" s="107">
        <v>0.305465089235907</v>
      </c>
      <c r="L16" s="108">
        <v>0.263046304087818</v>
      </c>
    </row>
    <row r="17" spans="1:12" ht="12.75">
      <c r="A17" s="82" t="s">
        <v>8</v>
      </c>
      <c r="B17" s="106">
        <v>6.2425302686517865</v>
      </c>
      <c r="C17" s="106">
        <v>11.634287850690045</v>
      </c>
      <c r="D17" s="106">
        <v>-11.432968433199177</v>
      </c>
      <c r="E17" s="106">
        <v>-57.476044997043154</v>
      </c>
      <c r="F17" s="106">
        <v>4.800242651331624</v>
      </c>
      <c r="G17" s="106">
        <v>2.63939767565808</v>
      </c>
      <c r="H17" s="106">
        <v>1.75888194075339</v>
      </c>
      <c r="I17" s="106">
        <v>49.1181991633829</v>
      </c>
      <c r="J17" s="106">
        <v>2.75482807101772</v>
      </c>
      <c r="K17" s="107">
        <v>0.179523087222367</v>
      </c>
      <c r="L17" s="108">
        <v>0.15491762867616798</v>
      </c>
    </row>
    <row r="18" spans="1:12" ht="12.75">
      <c r="A18" s="82" t="s">
        <v>31</v>
      </c>
      <c r="B18" s="106">
        <v>-89.67320163863619</v>
      </c>
      <c r="C18" s="106">
        <v>-89.67320163863619</v>
      </c>
      <c r="D18" s="109" t="s">
        <v>101</v>
      </c>
      <c r="E18" s="109" t="s">
        <v>101</v>
      </c>
      <c r="F18" s="109" t="s">
        <v>101</v>
      </c>
      <c r="G18" s="106">
        <v>0.999999118705999</v>
      </c>
      <c r="H18" s="106">
        <v>0</v>
      </c>
      <c r="I18" s="106">
        <v>19.2371196764715</v>
      </c>
      <c r="J18" s="106">
        <v>0.983718856807266</v>
      </c>
      <c r="K18" s="107">
        <v>0.244135461074687</v>
      </c>
      <c r="L18" s="108">
        <v>0.202539545272535</v>
      </c>
    </row>
    <row r="19" spans="1:12" ht="12.75">
      <c r="A19" s="82" t="s">
        <v>11</v>
      </c>
      <c r="B19" s="106">
        <v>35.460749856477</v>
      </c>
      <c r="C19" s="106">
        <v>62.79573289171633</v>
      </c>
      <c r="D19" s="106">
        <v>34.69087580865821</v>
      </c>
      <c r="E19" s="106">
        <v>28.84438249159807</v>
      </c>
      <c r="F19" s="106">
        <v>66.7960734239341</v>
      </c>
      <c r="G19" s="106">
        <v>3.4143506169078</v>
      </c>
      <c r="H19" s="106">
        <v>0.185020902516816</v>
      </c>
      <c r="I19" s="106">
        <v>43.5884291656896</v>
      </c>
      <c r="J19" s="106">
        <v>5.10955789810038</v>
      </c>
      <c r="K19" s="107">
        <v>0.331474058106822</v>
      </c>
      <c r="L19" s="108">
        <v>0.275883801639384</v>
      </c>
    </row>
    <row r="20" spans="1:12" ht="12.75">
      <c r="A20" s="82" t="s">
        <v>24</v>
      </c>
      <c r="B20" s="106">
        <v>21.005420718481645</v>
      </c>
      <c r="C20" s="106">
        <v>23.186091448256978</v>
      </c>
      <c r="D20" s="106">
        <v>-100</v>
      </c>
      <c r="E20" s="106">
        <v>-100</v>
      </c>
      <c r="F20" s="109" t="s">
        <v>101</v>
      </c>
      <c r="G20" s="106">
        <v>3.3453631513492</v>
      </c>
      <c r="H20" s="106">
        <v>1.51032681576605</v>
      </c>
      <c r="I20" s="106">
        <v>108.34860333458</v>
      </c>
      <c r="J20" s="106">
        <v>6.54659696042208</v>
      </c>
      <c r="K20" s="107">
        <v>-0.162571488624676</v>
      </c>
      <c r="L20" s="108">
        <v>-0.11337971378157301</v>
      </c>
    </row>
    <row r="21" spans="1:12" ht="12.75">
      <c r="A21" s="82" t="s">
        <v>29</v>
      </c>
      <c r="B21" s="106">
        <v>-5.919863402634489</v>
      </c>
      <c r="C21" s="106">
        <v>-5.914403758466905</v>
      </c>
      <c r="D21" s="106">
        <v>-14.395338323166811</v>
      </c>
      <c r="E21" s="106">
        <v>-14.395338323166811</v>
      </c>
      <c r="F21" s="109" t="s">
        <v>101</v>
      </c>
      <c r="G21" s="106">
        <v>1.25888724633449</v>
      </c>
      <c r="H21" s="106">
        <v>0.0157668186924842</v>
      </c>
      <c r="I21" s="106">
        <v>120.544985385632</v>
      </c>
      <c r="J21" s="106">
        <v>1.38903335283116</v>
      </c>
      <c r="K21" s="107">
        <v>-0.0109629800799064</v>
      </c>
      <c r="L21" s="108">
        <v>-0.00914124126808859</v>
      </c>
    </row>
    <row r="22" spans="1:12" ht="12.75">
      <c r="A22" s="82" t="s">
        <v>9</v>
      </c>
      <c r="B22" s="106">
        <v>0.6452705800892484</v>
      </c>
      <c r="C22" s="106">
        <v>2.166427129311522</v>
      </c>
      <c r="D22" s="106">
        <v>-61.15825157245518</v>
      </c>
      <c r="E22" s="106">
        <v>-83.95454414068557</v>
      </c>
      <c r="F22" s="106">
        <v>-24.92161241816913</v>
      </c>
      <c r="G22" s="106">
        <v>1.83586391962101</v>
      </c>
      <c r="H22" s="106">
        <v>1.96894650217226</v>
      </c>
      <c r="I22" s="106">
        <v>71.3986479993405</v>
      </c>
      <c r="J22" s="106">
        <v>3.77423409081996</v>
      </c>
      <c r="K22" s="107">
        <v>0.118793640257181</v>
      </c>
      <c r="L22" s="108">
        <v>0.121269554386509</v>
      </c>
    </row>
    <row r="23" spans="1:12" ht="12.75">
      <c r="A23" s="82" t="s">
        <v>26</v>
      </c>
      <c r="B23" s="106">
        <v>117.05819652944113</v>
      </c>
      <c r="C23" s="106">
        <v>117.05819652944113</v>
      </c>
      <c r="D23" s="109" t="s">
        <v>101</v>
      </c>
      <c r="E23" s="109" t="s">
        <v>101</v>
      </c>
      <c r="F23" s="109" t="s">
        <v>101</v>
      </c>
      <c r="G23" s="106">
        <v>1.59632737020917</v>
      </c>
      <c r="H23" s="106">
        <v>0.0172670510075942</v>
      </c>
      <c r="I23" s="106">
        <v>110.05176708157</v>
      </c>
      <c r="J23" s="106">
        <v>4.8501838134931</v>
      </c>
      <c r="K23" s="107">
        <v>-0.00105370710434552</v>
      </c>
      <c r="L23" s="108">
        <v>0.00129571780609747</v>
      </c>
    </row>
    <row r="24" spans="1:12" ht="12.75">
      <c r="A24" s="82" t="s">
        <v>110</v>
      </c>
      <c r="B24" s="109" t="s">
        <v>101</v>
      </c>
      <c r="C24" s="109" t="s">
        <v>101</v>
      </c>
      <c r="D24" s="109" t="s">
        <v>101</v>
      </c>
      <c r="E24" s="109" t="s">
        <v>101</v>
      </c>
      <c r="F24" s="109" t="s">
        <v>101</v>
      </c>
      <c r="G24" s="106">
        <v>4.41107989584772</v>
      </c>
      <c r="H24" s="106">
        <v>0.37113046379808</v>
      </c>
      <c r="I24" s="106">
        <v>37.4337225750031</v>
      </c>
      <c r="J24" s="106">
        <v>0.54975498140475</v>
      </c>
      <c r="K24" s="107">
        <v>0.00885311809861648</v>
      </c>
      <c r="L24" s="108">
        <v>0.0073480837578069405</v>
      </c>
    </row>
    <row r="25" spans="1:12" ht="12.75">
      <c r="A25" s="82" t="s">
        <v>30</v>
      </c>
      <c r="B25" s="109" t="s">
        <v>101</v>
      </c>
      <c r="C25" s="109" t="s">
        <v>101</v>
      </c>
      <c r="D25" s="109" t="s">
        <v>101</v>
      </c>
      <c r="E25" s="109" t="s">
        <v>101</v>
      </c>
      <c r="F25" s="109" t="s">
        <v>101</v>
      </c>
      <c r="G25" s="106">
        <v>0</v>
      </c>
      <c r="H25" s="106">
        <v>0</v>
      </c>
      <c r="I25" s="106">
        <v>744.750509144205</v>
      </c>
      <c r="J25" s="106">
        <v>3.95074642393842</v>
      </c>
      <c r="K25" s="107">
        <v>-0.0828836686530618</v>
      </c>
      <c r="L25" s="108">
        <v>-0.0714162829117622</v>
      </c>
    </row>
    <row r="26" spans="1:12" ht="12.75">
      <c r="A26" s="82" t="s">
        <v>22</v>
      </c>
      <c r="B26" s="106">
        <v>115.355478220902</v>
      </c>
      <c r="C26" s="106">
        <v>97.5781796098955</v>
      </c>
      <c r="D26" s="106">
        <v>117.25184431078685</v>
      </c>
      <c r="E26" s="106">
        <v>112.4931904144177</v>
      </c>
      <c r="F26" s="106">
        <v>153.54387747737263</v>
      </c>
      <c r="G26" s="106">
        <v>2.59492782627317</v>
      </c>
      <c r="H26" s="106">
        <v>0.101810336014076</v>
      </c>
      <c r="I26" s="106">
        <v>74.7639215708251</v>
      </c>
      <c r="J26" s="106">
        <v>7.78692455287489</v>
      </c>
      <c r="K26" s="107">
        <v>0.0523284518346672</v>
      </c>
      <c r="L26" s="108">
        <v>0.0498183060059581</v>
      </c>
    </row>
    <row r="27" spans="1:12" ht="12.75">
      <c r="A27" s="82" t="s">
        <v>10</v>
      </c>
      <c r="B27" s="106">
        <v>11.23550960269716</v>
      </c>
      <c r="C27" s="106">
        <v>6.469152575912698</v>
      </c>
      <c r="D27" s="106">
        <v>22.034519066878445</v>
      </c>
      <c r="E27" s="106">
        <v>15.153810987580984</v>
      </c>
      <c r="F27" s="106">
        <v>26.618941938569503</v>
      </c>
      <c r="G27" s="106">
        <v>1.95990522217513</v>
      </c>
      <c r="H27" s="106">
        <v>1.5196386868508</v>
      </c>
      <c r="I27" s="106">
        <v>44.5420166680555</v>
      </c>
      <c r="J27" s="106">
        <v>2.23345774754386</v>
      </c>
      <c r="K27" s="107">
        <v>0.284191874787453</v>
      </c>
      <c r="L27" s="108">
        <v>0.238661612861958</v>
      </c>
    </row>
    <row r="28" spans="1:12" ht="12.75">
      <c r="A28" s="82" t="s">
        <v>32</v>
      </c>
      <c r="B28" s="106">
        <v>20.723725862359164</v>
      </c>
      <c r="C28" s="106">
        <v>18.360533533465016</v>
      </c>
      <c r="D28" s="106">
        <v>50.580969867029125</v>
      </c>
      <c r="E28" s="106">
        <v>12.645563492693624</v>
      </c>
      <c r="F28" s="106">
        <v>62.82945742862482</v>
      </c>
      <c r="G28" s="106">
        <v>1.56282043499371</v>
      </c>
      <c r="H28" s="106">
        <v>0.769656094562314</v>
      </c>
      <c r="I28" s="106">
        <v>60.8324221916889</v>
      </c>
      <c r="J28" s="106">
        <v>1.88464535882011</v>
      </c>
      <c r="K28" s="107">
        <v>0.12700459016665</v>
      </c>
      <c r="L28" s="108">
        <v>0.113091481250174</v>
      </c>
    </row>
    <row r="29" spans="1:12" ht="12.75">
      <c r="A29" s="83" t="s">
        <v>21</v>
      </c>
      <c r="B29" s="110">
        <v>1.2815936800345027</v>
      </c>
      <c r="C29" s="110">
        <v>-6.104700185196536</v>
      </c>
      <c r="D29" s="110">
        <v>18.9992906726514</v>
      </c>
      <c r="E29" s="110">
        <v>19.743127397119615</v>
      </c>
      <c r="F29" s="110">
        <v>18.722704377055592</v>
      </c>
      <c r="G29" s="110">
        <v>1.85956105292946</v>
      </c>
      <c r="H29" s="110">
        <v>1.98135827258545</v>
      </c>
      <c r="I29" s="110">
        <v>68.8084341292849</v>
      </c>
      <c r="J29" s="110">
        <v>2.29517547237902</v>
      </c>
      <c r="K29" s="111">
        <v>0.109517834298703</v>
      </c>
      <c r="L29" s="112">
        <v>0.09771433194290619</v>
      </c>
    </row>
    <row r="30" spans="3:12" ht="12.75">
      <c r="C30" s="113"/>
      <c r="D30" s="113"/>
      <c r="E30" s="113"/>
      <c r="F30" s="113"/>
      <c r="G30" s="113"/>
      <c r="H30" s="113"/>
      <c r="I30" s="113"/>
      <c r="J30" s="113"/>
      <c r="L30" s="68"/>
    </row>
    <row r="31" spans="1:12" ht="12.75">
      <c r="A31" s="79" t="s">
        <v>159</v>
      </c>
      <c r="B31" s="100">
        <v>10.50681214166396</v>
      </c>
      <c r="C31" s="100">
        <v>9.038667927685264</v>
      </c>
      <c r="D31" s="100">
        <v>11.974570924364352</v>
      </c>
      <c r="E31" s="100">
        <v>18.44141196598733</v>
      </c>
      <c r="F31" s="100">
        <v>10.377897315901915</v>
      </c>
      <c r="G31" s="100">
        <v>1.76030771185101</v>
      </c>
      <c r="H31" s="100">
        <v>0.812482216494796</v>
      </c>
      <c r="I31" s="100">
        <v>61.2062163481569</v>
      </c>
      <c r="J31" s="100">
        <v>2.28263515445557</v>
      </c>
      <c r="K31" s="102">
        <v>0.221417666389347</v>
      </c>
      <c r="L31" s="102">
        <v>0.121122231944082</v>
      </c>
    </row>
    <row r="32" spans="3:12" ht="12.75">
      <c r="C32" s="113"/>
      <c r="D32" s="113"/>
      <c r="E32" s="113"/>
      <c r="F32" s="113"/>
      <c r="G32" s="113"/>
      <c r="H32" s="113"/>
      <c r="I32" s="113"/>
      <c r="J32" s="113"/>
      <c r="L32" s="68"/>
    </row>
    <row r="33" spans="1:12" ht="12.75">
      <c r="A33" s="79" t="s">
        <v>23</v>
      </c>
      <c r="B33" s="100">
        <v>-1.0038461273713355</v>
      </c>
      <c r="C33" s="100">
        <v>-5.508489523402554</v>
      </c>
      <c r="D33" s="100">
        <v>7.253444026243075</v>
      </c>
      <c r="E33" s="100">
        <v>14.437345218771892</v>
      </c>
      <c r="F33" s="100">
        <v>-2.146816011542858</v>
      </c>
      <c r="G33" s="100">
        <v>2.40717884494623</v>
      </c>
      <c r="H33" s="100">
        <v>1.16032092552118</v>
      </c>
      <c r="I33" s="100">
        <v>74.9169278170284</v>
      </c>
      <c r="J33" s="100">
        <v>4.70244228637604</v>
      </c>
      <c r="K33" s="102">
        <v>0.0696966607055398</v>
      </c>
      <c r="L33" s="102">
        <v>0.059842585831098305</v>
      </c>
    </row>
    <row r="34" spans="1:12" ht="12.75">
      <c r="A34" s="82" t="s">
        <v>34</v>
      </c>
      <c r="B34" s="106">
        <v>8.461400014684218</v>
      </c>
      <c r="C34" s="106">
        <v>1.9393195900814082</v>
      </c>
      <c r="D34" s="106">
        <v>18.853642829227876</v>
      </c>
      <c r="E34" s="106">
        <v>24.67115352511586</v>
      </c>
      <c r="F34" s="106">
        <v>14.767377545344035</v>
      </c>
      <c r="G34" s="106">
        <v>2.27526239958466</v>
      </c>
      <c r="H34" s="106">
        <v>1.33686917393377</v>
      </c>
      <c r="I34" s="106">
        <v>81.1261347605523</v>
      </c>
      <c r="J34" s="106">
        <v>3.54120051987404</v>
      </c>
      <c r="K34" s="104">
        <v>0.0335670248491604</v>
      </c>
      <c r="L34" s="108">
        <v>0.0369718158585956</v>
      </c>
    </row>
    <row r="35" spans="1:12" ht="12.75">
      <c r="A35" s="82" t="s">
        <v>12</v>
      </c>
      <c r="B35" s="106">
        <v>-5.892355629426029</v>
      </c>
      <c r="C35" s="106">
        <v>-7.263593025474418</v>
      </c>
      <c r="D35" s="106">
        <v>-3.49692140286844</v>
      </c>
      <c r="E35" s="106">
        <v>8.971943137541661</v>
      </c>
      <c r="F35" s="106">
        <v>-34.03361968130216</v>
      </c>
      <c r="G35" s="106">
        <v>2.67974301795491</v>
      </c>
      <c r="H35" s="106">
        <v>1.0639553863781</v>
      </c>
      <c r="I35" s="106">
        <v>82.6950941220367</v>
      </c>
      <c r="J35" s="106">
        <v>5.90885260223251</v>
      </c>
      <c r="K35" s="107">
        <v>0.0515058556318392</v>
      </c>
      <c r="L35" s="108">
        <v>0.044084984615933104</v>
      </c>
    </row>
    <row r="36" spans="1:12" ht="12.75">
      <c r="A36" s="82" t="s">
        <v>14</v>
      </c>
      <c r="B36" s="106">
        <v>20.317911290667503</v>
      </c>
      <c r="C36" s="106">
        <v>21.472406384341646</v>
      </c>
      <c r="D36" s="106">
        <v>-67.02626454105484</v>
      </c>
      <c r="E36" s="106">
        <v>-67.02626454105484</v>
      </c>
      <c r="F36" s="109" t="s">
        <v>101</v>
      </c>
      <c r="G36" s="106">
        <v>0.552367149769501</v>
      </c>
      <c r="H36" s="106">
        <v>0.819489902585587</v>
      </c>
      <c r="I36" s="106">
        <v>-270.753424918259</v>
      </c>
      <c r="J36" s="106">
        <v>3.79634192934782</v>
      </c>
      <c r="K36" s="107">
        <v>-0.0572010333285332</v>
      </c>
      <c r="L36" s="108">
        <v>-0.0569157106827921</v>
      </c>
    </row>
    <row r="37" spans="1:12" ht="12.75">
      <c r="A37" s="82" t="s">
        <v>13</v>
      </c>
      <c r="B37" s="106">
        <v>-21.020484812161456</v>
      </c>
      <c r="C37" s="106">
        <v>-21.014410430174237</v>
      </c>
      <c r="D37" s="106">
        <v>-27.187178444516068</v>
      </c>
      <c r="E37" s="106">
        <v>-27.187178444516068</v>
      </c>
      <c r="F37" s="109" t="s">
        <v>101</v>
      </c>
      <c r="G37" s="106">
        <v>1.03847634357801</v>
      </c>
      <c r="H37" s="106">
        <v>0</v>
      </c>
      <c r="I37" s="106">
        <v>81.3369091089821</v>
      </c>
      <c r="J37" s="106">
        <v>5.41719729532257</v>
      </c>
      <c r="K37" s="107">
        <v>-0.0108919155803666</v>
      </c>
      <c r="L37" s="108">
        <v>-0.0175868470748077</v>
      </c>
    </row>
    <row r="38" spans="1:12" ht="12.75">
      <c r="A38" s="82" t="s">
        <v>35</v>
      </c>
      <c r="B38" s="106">
        <v>10.591960666493938</v>
      </c>
      <c r="C38" s="106">
        <v>10.689385726332613</v>
      </c>
      <c r="D38" s="106">
        <v>-100</v>
      </c>
      <c r="E38" s="106">
        <v>-100</v>
      </c>
      <c r="F38" s="109" t="s">
        <v>101</v>
      </c>
      <c r="G38" s="106">
        <v>0.672261072155792</v>
      </c>
      <c r="H38" s="106">
        <v>0</v>
      </c>
      <c r="I38" s="106">
        <v>278.175394292133</v>
      </c>
      <c r="J38" s="106">
        <v>2.82983629739415</v>
      </c>
      <c r="K38" s="107">
        <v>-0.0501446634077808</v>
      </c>
      <c r="L38" s="108">
        <v>-0.0501446634077808</v>
      </c>
    </row>
    <row r="39" spans="1:12" ht="12.75">
      <c r="A39" s="83" t="s">
        <v>33</v>
      </c>
      <c r="B39" s="110">
        <v>-81.19483533075656</v>
      </c>
      <c r="C39" s="110">
        <v>-81.19483533075656</v>
      </c>
      <c r="D39" s="114" t="s">
        <v>101</v>
      </c>
      <c r="E39" s="114" t="s">
        <v>101</v>
      </c>
      <c r="F39" s="114" t="s">
        <v>101</v>
      </c>
      <c r="G39" s="110">
        <v>0.111916283379437</v>
      </c>
      <c r="H39" s="110">
        <v>0</v>
      </c>
      <c r="I39" s="110">
        <v>21.737692172535098</v>
      </c>
      <c r="J39" s="110">
        <v>2.79916971945703</v>
      </c>
      <c r="K39" s="111">
        <v>0.189190512058249</v>
      </c>
      <c r="L39" s="112">
        <v>0.158465117613595</v>
      </c>
    </row>
    <row r="40" spans="3:12" ht="12.75">
      <c r="C40" s="113"/>
      <c r="D40" s="113"/>
      <c r="E40" s="113"/>
      <c r="F40" s="113"/>
      <c r="G40" s="113"/>
      <c r="H40" s="113"/>
      <c r="I40" s="113"/>
      <c r="J40" s="113"/>
      <c r="L40" s="68"/>
    </row>
    <row r="41" spans="1:12" ht="12.75">
      <c r="A41" s="78" t="s">
        <v>15</v>
      </c>
      <c r="B41" s="100">
        <v>10.408859091920537</v>
      </c>
      <c r="C41" s="100">
        <v>7.23256936295136</v>
      </c>
      <c r="D41" s="100">
        <v>17.892422899642153</v>
      </c>
      <c r="E41" s="100">
        <v>16.317142398922783</v>
      </c>
      <c r="F41" s="100">
        <v>18.81219848962655</v>
      </c>
      <c r="G41" s="100">
        <v>1.98970383138142</v>
      </c>
      <c r="H41" s="100">
        <v>1.20249736779542</v>
      </c>
      <c r="I41" s="100">
        <v>53.4520155144505</v>
      </c>
      <c r="J41" s="100">
        <v>2.41102097398586</v>
      </c>
      <c r="K41" s="102">
        <v>0.199184914938199</v>
      </c>
      <c r="L41" s="102">
        <v>0.16736836085082502</v>
      </c>
    </row>
    <row r="42" spans="1:12" ht="12.75">
      <c r="A42" s="86"/>
      <c r="B42" s="87"/>
      <c r="C42" s="115"/>
      <c r="D42" s="115"/>
      <c r="E42" s="115"/>
      <c r="F42" s="115"/>
      <c r="G42" s="115"/>
      <c r="H42" s="115"/>
      <c r="I42" s="115"/>
      <c r="J42" s="115"/>
      <c r="L42" s="116"/>
    </row>
    <row r="43" spans="1:12" ht="12.75">
      <c r="A43" s="86" t="s">
        <v>27</v>
      </c>
      <c r="B43" s="87"/>
      <c r="C43" s="115"/>
      <c r="D43" s="115"/>
      <c r="E43" s="115"/>
      <c r="F43" s="115"/>
      <c r="G43" s="115"/>
      <c r="H43" s="115"/>
      <c r="I43" s="115"/>
      <c r="J43" s="115"/>
      <c r="L43" s="116"/>
    </row>
    <row r="44" spans="1:12" ht="12.75">
      <c r="A44" s="88" t="s">
        <v>152</v>
      </c>
      <c r="B44" s="117">
        <v>-1.0421721718547197</v>
      </c>
      <c r="C44" s="117">
        <v>-63.229095039338745</v>
      </c>
      <c r="D44" s="117">
        <v>6.105690588575965</v>
      </c>
      <c r="E44" s="117">
        <v>6.105690588575965</v>
      </c>
      <c r="F44" s="118" t="s">
        <v>101</v>
      </c>
      <c r="G44" s="117">
        <v>7.1719852127713</v>
      </c>
      <c r="H44" s="117">
        <v>0.38890935826679</v>
      </c>
      <c r="I44" s="117">
        <v>56.4281204155163</v>
      </c>
      <c r="J44" s="117">
        <v>13.5164220673446</v>
      </c>
      <c r="K44" s="104">
        <v>0.509611019136657</v>
      </c>
      <c r="L44" s="119">
        <v>0.444395802376391</v>
      </c>
    </row>
    <row r="45" spans="1:12" ht="12.75">
      <c r="A45" s="88" t="s">
        <v>153</v>
      </c>
      <c r="B45" s="117">
        <v>16.588000853116984</v>
      </c>
      <c r="C45" s="117">
        <v>16.02812345111091</v>
      </c>
      <c r="D45" s="117">
        <v>18.31319834054788</v>
      </c>
      <c r="E45" s="117">
        <v>11.053424676179322</v>
      </c>
      <c r="F45" s="117">
        <v>22.3297961590864</v>
      </c>
      <c r="G45" s="117">
        <v>1.70327101790121</v>
      </c>
      <c r="H45" s="117">
        <v>0.938552729322745</v>
      </c>
      <c r="I45" s="117">
        <v>51.4271002641867</v>
      </c>
      <c r="J45" s="117">
        <v>2.10160919362711</v>
      </c>
      <c r="K45" s="119">
        <v>0.301080058872438</v>
      </c>
      <c r="L45" s="119">
        <v>0.263046304087818</v>
      </c>
    </row>
    <row r="46" ht="12.75">
      <c r="A46" s="45"/>
    </row>
    <row r="47" spans="1:12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120"/>
      <c r="L47" s="120"/>
    </row>
    <row r="48" ht="12.75">
      <c r="A48" s="3" t="s">
        <v>143</v>
      </c>
    </row>
    <row r="49" ht="12.75">
      <c r="A49" s="3" t="s">
        <v>253</v>
      </c>
    </row>
    <row r="50" ht="12.75">
      <c r="A50" s="3" t="s">
        <v>154</v>
      </c>
    </row>
    <row r="51" ht="12.75">
      <c r="A51" s="3" t="s">
        <v>157</v>
      </c>
    </row>
    <row r="52" ht="12.75">
      <c r="A52" s="3" t="s">
        <v>158</v>
      </c>
    </row>
    <row r="54" ht="12.75">
      <c r="A54" s="3" t="s">
        <v>106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21" t="s">
        <v>161</v>
      </c>
      <c r="G1" s="125" t="s">
        <v>168</v>
      </c>
    </row>
    <row r="2" ht="12.75">
      <c r="A2" s="121" t="s">
        <v>162</v>
      </c>
    </row>
    <row r="3" ht="12.75">
      <c r="A3" s="121"/>
    </row>
    <row r="4" ht="12.75">
      <c r="A4" s="121"/>
    </row>
    <row r="5" ht="12.75">
      <c r="A5" s="121"/>
    </row>
    <row r="6" ht="12.75">
      <c r="A6" s="121"/>
    </row>
    <row r="7" ht="12.75">
      <c r="A7" s="121"/>
    </row>
    <row r="8" ht="15.75">
      <c r="A8" s="122" t="s">
        <v>117</v>
      </c>
    </row>
    <row r="10" spans="1:2" ht="12.75">
      <c r="A10" s="127" t="s">
        <v>172</v>
      </c>
      <c r="B10" s="127" t="s">
        <v>173</v>
      </c>
    </row>
    <row r="11" spans="1:2" ht="15.75">
      <c r="A11" s="126"/>
      <c r="B11" s="126"/>
    </row>
    <row r="12" spans="1:2" ht="12.75">
      <c r="A12" s="189" t="s">
        <v>89</v>
      </c>
      <c r="B12" s="190"/>
    </row>
    <row r="13" spans="1:2" ht="12.75">
      <c r="A13" s="128"/>
      <c r="B13" s="129"/>
    </row>
    <row r="14" spans="1:2" ht="12.75">
      <c r="A14" s="130" t="s">
        <v>89</v>
      </c>
      <c r="B14" s="131" t="s">
        <v>174</v>
      </c>
    </row>
    <row r="16" spans="1:2" ht="12.75">
      <c r="A16" s="189" t="s">
        <v>256</v>
      </c>
      <c r="B16" s="190"/>
    </row>
    <row r="17" spans="1:2" ht="12.75">
      <c r="A17" s="132"/>
      <c r="B17" s="133"/>
    </row>
    <row r="18" spans="1:2" ht="12.75">
      <c r="A18" s="134" t="s">
        <v>175</v>
      </c>
      <c r="B18" s="135">
        <v>1110</v>
      </c>
    </row>
    <row r="19" spans="1:2" ht="12.75">
      <c r="A19" s="134" t="str">
        <f>"+ Ptmos. comerciales (a más de 1 año)"</f>
        <v>+ Ptmos. comerciales (a más de 1 año)</v>
      </c>
      <c r="B19" s="136">
        <v>1205</v>
      </c>
    </row>
    <row r="20" spans="1:2" ht="12.75">
      <c r="A20" s="134" t="str">
        <f>"+ Ptmos. hipot. endosables para fines generales"</f>
        <v>+ Ptmos. hipot. endosables para fines generales</v>
      </c>
      <c r="B20" s="136">
        <v>1248</v>
      </c>
    </row>
    <row r="21" spans="1:2" ht="12.75">
      <c r="A21" s="134" t="str">
        <f>"+ Ptmos. fines generales en letras de crédito"</f>
        <v>+ Ptmos. fines generales en letras de crédito</v>
      </c>
      <c r="B21" s="136">
        <v>1305</v>
      </c>
    </row>
    <row r="22" spans="1:2" ht="12.75">
      <c r="A22" s="134" t="str">
        <f>"+ Deudores por boletas de garantía y consig. judic. (hasta 1 año)"</f>
        <v>+ Deudores por boletas de garantía y consig. judic. (hasta 1 año)</v>
      </c>
      <c r="B22" s="136">
        <v>1605</v>
      </c>
    </row>
    <row r="23" spans="1:2" ht="12.75">
      <c r="A23" s="134" t="str">
        <f>"+ Deudores por avales y fianzas (hasta 1 año)"</f>
        <v>+ Deudores por avales y fianzas (hasta 1 año)</v>
      </c>
      <c r="B23" s="136">
        <v>1610</v>
      </c>
    </row>
    <row r="24" spans="1:2" ht="12.75">
      <c r="A24" s="134" t="str">
        <f>"+ Deudores por boletas de garantía y consig. judic. (a más de 1 año)"</f>
        <v>+ Deudores por boletas de garantía y consig. judic. (a más de 1 año)</v>
      </c>
      <c r="B24" s="136">
        <v>1655</v>
      </c>
    </row>
    <row r="25" spans="1:2" ht="12.75">
      <c r="A25" s="134" t="str">
        <f>"+ Deudores por avales y fianzas (a más de 1 año)"</f>
        <v>+ Deudores por avales y fianzas (a más de 1 año)</v>
      </c>
      <c r="B25" s="136">
        <v>1660</v>
      </c>
    </row>
    <row r="26" spans="1:2" ht="12.75">
      <c r="A26" s="134" t="str">
        <f>"+ Créditos comerciales vencidos"</f>
        <v>+ Créditos comerciales vencidos</v>
      </c>
      <c r="B26" s="136">
        <v>1401</v>
      </c>
    </row>
    <row r="27" spans="1:2" ht="12.75">
      <c r="A27" s="134" t="str">
        <f>"+ Operaciones de factoraje"</f>
        <v>+ Operaciones de factoraje</v>
      </c>
      <c r="B27" s="136">
        <v>1135</v>
      </c>
    </row>
    <row r="28" spans="1:2" ht="12.75">
      <c r="A28" s="134" t="str">
        <f>"+ Operaciones de factoraje (vencidas)"</f>
        <v>+ Operaciones de factoraje (vencidas)</v>
      </c>
      <c r="B28" s="136">
        <v>1418</v>
      </c>
    </row>
    <row r="29" spans="1:2" ht="12.75">
      <c r="A29" s="134" t="str">
        <f>"+ Contratos de leasing comercial"</f>
        <v>+ Contratos de leasing comercial</v>
      </c>
      <c r="B29" s="136" t="s">
        <v>176</v>
      </c>
    </row>
    <row r="30" spans="1:2" ht="12.75">
      <c r="A30" s="137" t="str">
        <f>"+ Intereses diferidos leasing comercial"</f>
        <v>+ Intereses diferidos leasing comercial</v>
      </c>
      <c r="B30" s="138" t="s">
        <v>177</v>
      </c>
    </row>
    <row r="31" spans="1:2" ht="12.75">
      <c r="A31" s="137" t="str">
        <f>"+ IVA diferido leasing comercial"</f>
        <v>+ IVA diferido leasing comercial</v>
      </c>
      <c r="B31" s="138" t="s">
        <v>178</v>
      </c>
    </row>
    <row r="32" spans="1:2" ht="12.75">
      <c r="A32" s="134" t="str">
        <f>"+ Contratos de leasing comercial vencidos"</f>
        <v>+ Contratos de leasing comercial vencidos</v>
      </c>
      <c r="B32" s="136" t="s">
        <v>179</v>
      </c>
    </row>
    <row r="33" spans="1:2" ht="12.75">
      <c r="A33" s="134" t="str">
        <f>"+ Otros saldos de la partida 1350"</f>
        <v>+ Otros saldos de la partida 1350</v>
      </c>
      <c r="B33" s="139" t="s">
        <v>180</v>
      </c>
    </row>
    <row r="34" spans="1:2" ht="12.75">
      <c r="A34" s="134" t="str">
        <f>"+ Varios deudores"</f>
        <v>+ Varios deudores</v>
      </c>
      <c r="B34" s="136">
        <v>1140</v>
      </c>
    </row>
    <row r="35" spans="1:2" ht="12.75">
      <c r="A35" s="134" t="str">
        <f>"+ Ptmos. productivos reprogramados"</f>
        <v>+ Ptmos. productivos reprogramados</v>
      </c>
      <c r="B35" s="136">
        <v>1235</v>
      </c>
    </row>
    <row r="36" spans="1:2" ht="12.75">
      <c r="A36" s="134" t="s">
        <v>181</v>
      </c>
      <c r="B36" s="136">
        <v>1245</v>
      </c>
    </row>
    <row r="37" spans="1:2" ht="12.75">
      <c r="A37" s="134" t="str">
        <f>"+ Dividendos por cobrar"</f>
        <v>+ Dividendos por cobrar</v>
      </c>
      <c r="B37" s="136">
        <v>1315</v>
      </c>
    </row>
    <row r="38" spans="1:2" ht="12.75">
      <c r="A38" s="134" t="str">
        <f>"+ Créditos importación (hasta 1 año)"</f>
        <v>+ Créditos importación (hasta 1 año)</v>
      </c>
      <c r="B38" s="136">
        <v>1125</v>
      </c>
    </row>
    <row r="39" spans="1:2" ht="12.75">
      <c r="A39" s="134" t="str">
        <f>"+ Créditos exportación (hasta 1 año)"</f>
        <v>+ Créditos exportación (hasta 1 año)</v>
      </c>
      <c r="B39" s="136">
        <v>1130</v>
      </c>
    </row>
    <row r="40" spans="1:2" ht="12.75">
      <c r="A40" s="134" t="str">
        <f>"+ Créditos importación (a más de 1 año)"</f>
        <v>+ Créditos importación (a más de 1 año)</v>
      </c>
      <c r="B40" s="136">
        <v>1220</v>
      </c>
    </row>
    <row r="41" spans="1:2" ht="12.75">
      <c r="A41" s="134" t="str">
        <f>"+ Créditos exportación (a más de 1 año)"</f>
        <v>+ Créditos exportación (a más de 1 año)</v>
      </c>
      <c r="B41" s="136">
        <v>1225</v>
      </c>
    </row>
    <row r="42" spans="1:2" ht="12.75">
      <c r="A42" s="134" t="str">
        <f>"+ Deudores por carta de crédito simples o documentarias"</f>
        <v>+ Deudores por carta de crédito simples o documentarias</v>
      </c>
      <c r="B42" s="136">
        <v>1615</v>
      </c>
    </row>
    <row r="43" spans="1:2" ht="12.75">
      <c r="A43" s="134" t="str">
        <f>"+ Deudores por carta crédito del exterior confirmadas"</f>
        <v>+ Deudores por carta crédito del exterior confirmadas</v>
      </c>
      <c r="B43" s="136">
        <v>1620</v>
      </c>
    </row>
    <row r="44" spans="1:2" ht="12.75">
      <c r="A44" s="134" t="str">
        <f>"+ Ptmos. a instituciones financieras (hasta 1 año)"</f>
        <v>+ Ptmos. a instituciones financieras (hasta 1 año)</v>
      </c>
      <c r="B44" s="136">
        <v>1120</v>
      </c>
    </row>
    <row r="45" spans="1:2" ht="12.75">
      <c r="A45" s="130" t="str">
        <f>"+ Ptmos. a instituciones financieras (a más de 1 año)"</f>
        <v>+ Ptmos. a instituciones financieras (a más de 1 año)</v>
      </c>
      <c r="B45" s="140">
        <v>1215</v>
      </c>
    </row>
    <row r="47" spans="1:2" ht="12.75">
      <c r="A47" s="189" t="s">
        <v>182</v>
      </c>
      <c r="B47" s="190"/>
    </row>
    <row r="48" spans="1:2" ht="12.75">
      <c r="A48" s="133"/>
      <c r="B48" s="133"/>
    </row>
    <row r="49" spans="1:2" ht="12.75">
      <c r="A49" s="137" t="s">
        <v>175</v>
      </c>
      <c r="B49" s="135">
        <v>1110</v>
      </c>
    </row>
    <row r="50" spans="1:2" ht="12.75">
      <c r="A50" s="134" t="str">
        <f>"+ Ptmos. comerciales (a más de 1 año)"</f>
        <v>+ Ptmos. comerciales (a más de 1 año)</v>
      </c>
      <c r="B50" s="136">
        <v>1205</v>
      </c>
    </row>
    <row r="51" spans="1:2" ht="12.75">
      <c r="A51" s="134" t="str">
        <f>"+ Ptmos. hipot. endosables para fines generales"</f>
        <v>+ Ptmos. hipot. endosables para fines generales</v>
      </c>
      <c r="B51" s="136">
        <v>1248</v>
      </c>
    </row>
    <row r="52" spans="1:2" ht="12.75">
      <c r="A52" s="137" t="str">
        <f>"+ Ptmos. fines generales en letras de crédito"</f>
        <v>+ Ptmos. fines generales en letras de crédito</v>
      </c>
      <c r="B52" s="136">
        <v>1305</v>
      </c>
    </row>
    <row r="53" spans="1:2" ht="12.75">
      <c r="A53" s="134" t="str">
        <f>"+ Deudores por boletas de garantía y consig. judic. (hasta 1 año)"</f>
        <v>+ Deudores por boletas de garantía y consig. judic. (hasta 1 año)</v>
      </c>
      <c r="B53" s="136">
        <v>1605</v>
      </c>
    </row>
    <row r="54" spans="1:2" ht="12.75">
      <c r="A54" s="134" t="str">
        <f>"+ Deudores por avales y fianzas (hasta 1 año)"</f>
        <v>+ Deudores por avales y fianzas (hasta 1 año)</v>
      </c>
      <c r="B54" s="136">
        <v>1610</v>
      </c>
    </row>
    <row r="55" spans="1:2" ht="12.75">
      <c r="A55" s="134" t="str">
        <f>"+ Deudores por boletas de garantía y consig. judic. (a más de 1 año)"</f>
        <v>+ Deudores por boletas de garantía y consig. judic. (a más de 1 año)</v>
      </c>
      <c r="B55" s="136">
        <v>1655</v>
      </c>
    </row>
    <row r="56" spans="1:2" ht="12.75">
      <c r="A56" s="134" t="str">
        <f>"+ Deudores por avales y fianzas (a más de 1 año)"</f>
        <v>+ Deudores por avales y fianzas (a más de 1 año)</v>
      </c>
      <c r="B56" s="136">
        <v>1660</v>
      </c>
    </row>
    <row r="57" spans="1:2" ht="12.75">
      <c r="A57" s="137" t="str">
        <f>"+ Créditos comerciales vencidos"</f>
        <v>+ Créditos comerciales vencidos</v>
      </c>
      <c r="B57" s="136">
        <v>1401</v>
      </c>
    </row>
    <row r="58" spans="1:2" ht="12.75">
      <c r="A58" s="137" t="str">
        <f>"+ Operaciones de factoraje"</f>
        <v>+ Operaciones de factoraje</v>
      </c>
      <c r="B58" s="136">
        <v>1135</v>
      </c>
    </row>
    <row r="59" spans="1:2" ht="12.75">
      <c r="A59" s="137" t="str">
        <f>"+ Operaciones de factoraje (vencidas)"</f>
        <v>+ Operaciones de factoraje (vencidas)</v>
      </c>
      <c r="B59" s="136">
        <v>1418</v>
      </c>
    </row>
    <row r="60" spans="1:2" ht="12.75">
      <c r="A60" s="137" t="str">
        <f>"+ Contratos de leasing comercial"</f>
        <v>+ Contratos de leasing comercial</v>
      </c>
      <c r="B60" s="136" t="s">
        <v>176</v>
      </c>
    </row>
    <row r="61" spans="1:2" ht="12.75">
      <c r="A61" s="137" t="str">
        <f>"+ Intereses diferidos leasing comercial"</f>
        <v>+ Intereses diferidos leasing comercial</v>
      </c>
      <c r="B61" s="138" t="s">
        <v>177</v>
      </c>
    </row>
    <row r="62" spans="1:2" ht="12.75">
      <c r="A62" s="137" t="str">
        <f>"+ IVA diferido leasing comercial"</f>
        <v>+ IVA diferido leasing comercial</v>
      </c>
      <c r="B62" s="138" t="s">
        <v>178</v>
      </c>
    </row>
    <row r="63" spans="1:2" ht="12.75">
      <c r="A63" s="137" t="str">
        <f>"+ Contratos de leasing comercial vencidos"</f>
        <v>+ Contratos de leasing comercial vencidos</v>
      </c>
      <c r="B63" s="136" t="s">
        <v>179</v>
      </c>
    </row>
    <row r="64" spans="1:2" ht="12.75">
      <c r="A64" s="137" t="str">
        <f>"+ Otros saldos de la partida 1350"</f>
        <v>+ Otros saldos de la partida 1350</v>
      </c>
      <c r="B64" s="139" t="s">
        <v>180</v>
      </c>
    </row>
    <row r="65" spans="1:2" ht="12.75">
      <c r="A65" s="137" t="str">
        <f>"+ Varios deudores"</f>
        <v>+ Varios deudores</v>
      </c>
      <c r="B65" s="136">
        <v>1140</v>
      </c>
    </row>
    <row r="66" spans="1:2" ht="12.75">
      <c r="A66" s="137" t="str">
        <f>"+ Ptmos. productivos reprogramados"</f>
        <v>+ Ptmos. productivos reprogramados</v>
      </c>
      <c r="B66" s="136">
        <v>1235</v>
      </c>
    </row>
    <row r="67" spans="1:2" ht="12.75">
      <c r="A67" s="137" t="s">
        <v>181</v>
      </c>
      <c r="B67" s="136">
        <v>1245</v>
      </c>
    </row>
    <row r="68" spans="1:2" ht="12.75">
      <c r="A68" s="141" t="str">
        <f>"+ Dividendos por cobrar"</f>
        <v>+ Dividendos por cobrar</v>
      </c>
      <c r="B68" s="140">
        <v>1315</v>
      </c>
    </row>
    <row r="70" spans="1:2" ht="12.75">
      <c r="A70" s="189" t="s">
        <v>183</v>
      </c>
      <c r="B70" s="190"/>
    </row>
    <row r="71" spans="1:2" ht="12.75">
      <c r="A71" s="133"/>
      <c r="B71" s="133"/>
    </row>
    <row r="72" spans="1:2" ht="12.75">
      <c r="A72" s="137" t="s">
        <v>184</v>
      </c>
      <c r="B72" s="139">
        <v>1125</v>
      </c>
    </row>
    <row r="73" spans="1:2" ht="12.75">
      <c r="A73" s="137" t="str">
        <f>"+ Créditos exportación (hasta 1 año)"</f>
        <v>+ Créditos exportación (hasta 1 año)</v>
      </c>
      <c r="B73" s="136">
        <v>1130</v>
      </c>
    </row>
    <row r="74" spans="1:2" ht="12.75">
      <c r="A74" s="137" t="str">
        <f>"+ Créditos importación (a más de 1 año)"</f>
        <v>+ Créditos importación (a más de 1 año)</v>
      </c>
      <c r="B74" s="136">
        <v>1220</v>
      </c>
    </row>
    <row r="75" spans="1:2" ht="12.75">
      <c r="A75" s="137" t="str">
        <f>"+ Créditos exportación (a más de 1 año)"</f>
        <v>+ Créditos exportación (a más de 1 año)</v>
      </c>
      <c r="B75" s="136">
        <v>1225</v>
      </c>
    </row>
    <row r="76" spans="1:2" ht="12.75">
      <c r="A76" s="137" t="str">
        <f>"+ Deudores por carta de crédito simples o documentarias"</f>
        <v>+ Deudores por carta de crédito simples o documentarias</v>
      </c>
      <c r="B76" s="136">
        <v>1615</v>
      </c>
    </row>
    <row r="77" spans="1:2" ht="12.75">
      <c r="A77" s="141" t="str">
        <f>"+ Deudores por carta crédito del exterior confirmadas"</f>
        <v>+ Deudores por carta crédito del exterior confirmadas</v>
      </c>
      <c r="B77" s="140">
        <v>1620</v>
      </c>
    </row>
    <row r="79" spans="1:2" ht="12.75">
      <c r="A79" s="189" t="s">
        <v>185</v>
      </c>
      <c r="B79" s="190"/>
    </row>
    <row r="80" spans="1:2" ht="12.75">
      <c r="A80" s="132"/>
      <c r="B80" s="133"/>
    </row>
    <row r="81" spans="1:2" ht="12.75">
      <c r="A81" s="134" t="s">
        <v>186</v>
      </c>
      <c r="B81" s="135">
        <v>1120</v>
      </c>
    </row>
    <row r="82" spans="1:2" ht="12.75">
      <c r="A82" s="130" t="str">
        <f>"+ Ptmos. a instituciones Financieras (a más de 1 año)"</f>
        <v>+ Ptmos. a instituciones Financieras (a más de 1 año)</v>
      </c>
      <c r="B82" s="140">
        <v>1215</v>
      </c>
    </row>
    <row r="84" spans="1:2" ht="12.75">
      <c r="A84" s="189" t="s">
        <v>187</v>
      </c>
      <c r="B84" s="190"/>
    </row>
    <row r="85" spans="1:2" ht="12.75">
      <c r="A85" s="132"/>
      <c r="B85" s="133"/>
    </row>
    <row r="86" spans="1:2" ht="12.75">
      <c r="A86" s="134" t="s">
        <v>188</v>
      </c>
      <c r="B86" s="139">
        <v>1115</v>
      </c>
    </row>
    <row r="87" spans="1:2" ht="12.75">
      <c r="A87" s="134" t="str">
        <f>"+ Ptmos. de consumo (a más de 1 año)"</f>
        <v>+ Ptmos. de consumo (a más de 1 año)</v>
      </c>
      <c r="B87" s="136">
        <v>1210</v>
      </c>
    </row>
    <row r="88" spans="1:2" ht="12.75">
      <c r="A88" s="134" t="str">
        <f>"+ Créditos de consumo vencidos"</f>
        <v>+ Créditos de consumo vencidos</v>
      </c>
      <c r="B88" s="136">
        <v>1411</v>
      </c>
    </row>
    <row r="89" spans="1:2" ht="12.75">
      <c r="A89" s="134" t="str">
        <f>"+ Contratos de leasing de consumo"</f>
        <v>+ Contratos de leasing de consumo</v>
      </c>
      <c r="B89" s="136" t="s">
        <v>189</v>
      </c>
    </row>
    <row r="90" spans="1:2" ht="12.75">
      <c r="A90" s="137" t="str">
        <f>"+ Intereses diferidos leasing  de consumo"</f>
        <v>+ Intereses diferidos leasing  de consumo</v>
      </c>
      <c r="B90" s="138" t="s">
        <v>190</v>
      </c>
    </row>
    <row r="91" spans="1:2" ht="12.75">
      <c r="A91" s="137" t="str">
        <f>"+ IVA diferido leasing de consumo"</f>
        <v>+ IVA diferido leasing de consumo</v>
      </c>
      <c r="B91" s="138" t="s">
        <v>191</v>
      </c>
    </row>
    <row r="92" spans="1:2" ht="12.75">
      <c r="A92" s="134" t="str">
        <f>"+ Contratos de leasing consumo vencidos"</f>
        <v>+ Contratos de leasing consumo vencidos</v>
      </c>
      <c r="B92" s="136" t="s">
        <v>192</v>
      </c>
    </row>
    <row r="93" spans="1:2" ht="12.75">
      <c r="A93" s="134" t="str">
        <f>"+ Créditos hipotecarios para vivienda"</f>
        <v>+ Créditos hipotecarios para vivienda</v>
      </c>
      <c r="B93" s="136">
        <v>1246</v>
      </c>
    </row>
    <row r="94" spans="1:2" ht="12.75">
      <c r="A94" s="134" t="s">
        <v>193</v>
      </c>
      <c r="B94" s="136">
        <v>1247</v>
      </c>
    </row>
    <row r="95" spans="1:2" ht="12.75">
      <c r="A95" s="134" t="str">
        <f>"+ Ptmos. para vivienda en letras de crédito"</f>
        <v>+ Ptmos. para vivienda en letras de crédito</v>
      </c>
      <c r="B95" s="136">
        <v>1310</v>
      </c>
    </row>
    <row r="96" spans="1:2" ht="12.75">
      <c r="A96" s="134" t="str">
        <f>"+ Créditos hipotecarios para vivienda vencidos"</f>
        <v>+ Créditos hipotecarios para vivienda vencidos</v>
      </c>
      <c r="B96" s="136">
        <v>1416</v>
      </c>
    </row>
    <row r="97" spans="1:2" ht="12.75">
      <c r="A97" s="134" t="str">
        <f>"+ Contratos de leasing de vivienda"</f>
        <v>+ Contratos de leasing de vivienda</v>
      </c>
      <c r="B97" s="136" t="s">
        <v>194</v>
      </c>
    </row>
    <row r="98" spans="1:2" ht="12.75">
      <c r="A98" s="137" t="str">
        <f>"+ Intereses diferidos leasing de vivienda"</f>
        <v>+ Intereses diferidos leasing de vivienda</v>
      </c>
      <c r="B98" s="138" t="s">
        <v>195</v>
      </c>
    </row>
    <row r="99" spans="1:2" ht="12.75">
      <c r="A99" s="137" t="str">
        <f>"+ IVA diferido leasing de vivienda"</f>
        <v>+ IVA diferido leasing de vivienda</v>
      </c>
      <c r="B99" s="138" t="s">
        <v>196</v>
      </c>
    </row>
    <row r="100" spans="1:2" ht="12.75">
      <c r="A100" s="130" t="str">
        <f>"+ Contratos de leasing de vivienda vencidos"</f>
        <v>+ Contratos de leasing de vivienda vencidos</v>
      </c>
      <c r="B100" s="140" t="s">
        <v>197</v>
      </c>
    </row>
    <row r="102" spans="1:2" ht="12.75">
      <c r="A102" s="189" t="s">
        <v>257</v>
      </c>
      <c r="B102" s="190"/>
    </row>
    <row r="103" spans="1:2" ht="12.75">
      <c r="A103" s="133"/>
      <c r="B103" s="133"/>
    </row>
    <row r="104" spans="1:2" ht="12.75">
      <c r="A104" s="137" t="s">
        <v>188</v>
      </c>
      <c r="B104" s="139">
        <v>1115</v>
      </c>
    </row>
    <row r="105" spans="1:2" ht="12.75">
      <c r="A105" s="137" t="str">
        <f>"+ Ptmos. de consumo (a más de 1 año)"</f>
        <v>+ Ptmos. de consumo (a más de 1 año)</v>
      </c>
      <c r="B105" s="136">
        <v>1210</v>
      </c>
    </row>
    <row r="106" spans="1:2" ht="12.75">
      <c r="A106" s="137" t="str">
        <f>"+ Créditos de consumo vencidos"</f>
        <v>+ Créditos de consumo vencidos</v>
      </c>
      <c r="B106" s="136">
        <v>1411</v>
      </c>
    </row>
    <row r="107" spans="1:2" ht="12.75">
      <c r="A107" s="137" t="str">
        <f>"+ Contratos de leasing de consumo"</f>
        <v>+ Contratos de leasing de consumo</v>
      </c>
      <c r="B107" s="136" t="s">
        <v>189</v>
      </c>
    </row>
    <row r="108" spans="1:2" ht="12.75">
      <c r="A108" s="137" t="str">
        <f>"+ Intereses diferidos leasing  de consumo"</f>
        <v>+ Intereses diferidos leasing  de consumo</v>
      </c>
      <c r="B108" s="139" t="s">
        <v>190</v>
      </c>
    </row>
    <row r="109" spans="1:2" ht="12.75">
      <c r="A109" s="137" t="str">
        <f>"+ IVA diferido leasing de consumo"</f>
        <v>+ IVA diferido leasing de consumo</v>
      </c>
      <c r="B109" s="139" t="s">
        <v>191</v>
      </c>
    </row>
    <row r="110" spans="1:2" ht="12.75">
      <c r="A110" s="141" t="str">
        <f>"+ Contratos de leasing consumo vencidos"</f>
        <v>+ Contratos de leasing consumo vencidos</v>
      </c>
      <c r="B110" s="140" t="s">
        <v>192</v>
      </c>
    </row>
    <row r="112" spans="1:2" ht="12.75">
      <c r="A112" s="189" t="s">
        <v>258</v>
      </c>
      <c r="B112" s="190"/>
    </row>
    <row r="113" spans="1:2" ht="12.75">
      <c r="A113" s="132"/>
      <c r="B113" s="133"/>
    </row>
    <row r="114" spans="1:2" ht="12.75">
      <c r="A114" s="134" t="s">
        <v>198</v>
      </c>
      <c r="B114" s="139">
        <v>1246</v>
      </c>
    </row>
    <row r="115" spans="1:2" ht="12.75">
      <c r="A115" s="134" t="s">
        <v>193</v>
      </c>
      <c r="B115" s="136">
        <v>1247</v>
      </c>
    </row>
    <row r="116" spans="1:2" ht="12.75">
      <c r="A116" s="134" t="str">
        <f>"+ Ptmos. para vivienda en letras de crédito"</f>
        <v>+ Ptmos. para vivienda en letras de crédito</v>
      </c>
      <c r="B116" s="136">
        <v>1310</v>
      </c>
    </row>
    <row r="117" spans="1:2" ht="12.75">
      <c r="A117" s="134" t="str">
        <f>"+ Créditos hipotecarios para vivienda vencidos"</f>
        <v>+ Créditos hipotecarios para vivienda vencidos</v>
      </c>
      <c r="B117" s="136">
        <v>1416</v>
      </c>
    </row>
    <row r="118" spans="1:2" ht="12.75">
      <c r="A118" s="134" t="str">
        <f>"+ Contratos de leasing de vivienda"</f>
        <v>+ Contratos de leasing de vivienda</v>
      </c>
      <c r="B118" s="136" t="s">
        <v>194</v>
      </c>
    </row>
    <row r="119" spans="1:2" ht="12.75">
      <c r="A119" s="137" t="str">
        <f>"+ Intereses diferidos leasing de vivienda"</f>
        <v>+ Intereses diferidos leasing de vivienda</v>
      </c>
      <c r="B119" s="138" t="s">
        <v>195</v>
      </c>
    </row>
    <row r="120" spans="1:2" ht="12.75">
      <c r="A120" s="137" t="str">
        <f>"+ IVA diferido leasing de vivienda"</f>
        <v>+ IVA diferido leasing de vivienda</v>
      </c>
      <c r="B120" s="138" t="s">
        <v>196</v>
      </c>
    </row>
    <row r="121" spans="1:2" ht="12.75">
      <c r="A121" s="130" t="str">
        <f>"+ Contratos de leasing de vivienda vencidos"</f>
        <v>+ Contratos de leasing de vivienda vencidos</v>
      </c>
      <c r="B121" s="140" t="s">
        <v>197</v>
      </c>
    </row>
    <row r="122" spans="1:2" ht="12.75">
      <c r="A122" s="33"/>
      <c r="B122" s="142"/>
    </row>
    <row r="123" spans="1:2" ht="12.75">
      <c r="A123" s="189" t="s">
        <v>72</v>
      </c>
      <c r="B123" s="190"/>
    </row>
    <row r="124" spans="1:2" ht="12.75">
      <c r="A124" s="128"/>
      <c r="B124" s="129"/>
    </row>
    <row r="125" spans="1:2" ht="12.75">
      <c r="A125" s="130" t="s">
        <v>72</v>
      </c>
      <c r="B125" s="131" t="s">
        <v>199</v>
      </c>
    </row>
    <row r="126" ht="12.75">
      <c r="A126" s="6"/>
    </row>
    <row r="127" spans="1:2" ht="12.75">
      <c r="A127" s="189" t="s">
        <v>73</v>
      </c>
      <c r="B127" s="190"/>
    </row>
    <row r="128" spans="1:2" ht="12.75">
      <c r="A128" s="128"/>
      <c r="B128" s="129"/>
    </row>
    <row r="129" spans="1:2" ht="12.75">
      <c r="A129" s="134" t="s">
        <v>200</v>
      </c>
      <c r="B129" s="139" t="s">
        <v>201</v>
      </c>
    </row>
    <row r="130" spans="1:2" ht="12.75">
      <c r="A130" s="134" t="str">
        <f>"- Cuentas ajuste control pasivo"</f>
        <v>- Cuentas ajuste control pasivo</v>
      </c>
      <c r="B130" s="139" t="str">
        <f>"- (4505 a 4525)"</f>
        <v>- (4505 a 4525)</v>
      </c>
    </row>
    <row r="131" spans="1:2" ht="12.75">
      <c r="A131" s="134" t="str">
        <f>"- Documentos a cargo de otros bancos (canje)"</f>
        <v>- Documentos a cargo de otros bancos (canje)</v>
      </c>
      <c r="B131" s="139" t="str">
        <f>"- 1015"</f>
        <v>- 1015</v>
      </c>
    </row>
    <row r="132" spans="1:2" ht="12.75">
      <c r="A132" s="130" t="str">
        <f>"- Operaciones a futuro pasivo"</f>
        <v>- Operaciones a futuro pasivo</v>
      </c>
      <c r="B132" s="143">
        <v>4127</v>
      </c>
    </row>
    <row r="133" ht="12.75">
      <c r="A133" s="6"/>
    </row>
    <row r="134" spans="1:2" ht="12.75">
      <c r="A134" s="189" t="s">
        <v>74</v>
      </c>
      <c r="B134" s="190"/>
    </row>
    <row r="135" spans="1:2" ht="12.75">
      <c r="A135" s="132"/>
      <c r="B135" s="133"/>
    </row>
    <row r="136" spans="1:2" ht="12.75">
      <c r="A136" s="134" t="s">
        <v>202</v>
      </c>
      <c r="B136" s="137">
        <v>3005</v>
      </c>
    </row>
    <row r="137" spans="1:2" ht="12.75">
      <c r="A137" s="134" t="str">
        <f>"+ Otros saldos acreedores a la vista"</f>
        <v>+ Otros saldos acreedores a la vista</v>
      </c>
      <c r="B137" s="144">
        <v>3010</v>
      </c>
    </row>
    <row r="138" spans="1:2" ht="12.75">
      <c r="A138" s="134" t="str">
        <f>"+ Cuentas de depósito a la vista"</f>
        <v>+ Cuentas de depósito a la vista</v>
      </c>
      <c r="B138" s="144">
        <v>3015</v>
      </c>
    </row>
    <row r="139" spans="1:2" ht="12.75">
      <c r="A139" s="134" t="str">
        <f>"- Documentos a cargo de otros bancos (canje)"</f>
        <v>- Documentos a cargo de otros bancos (canje)</v>
      </c>
      <c r="B139" s="145">
        <v>1015</v>
      </c>
    </row>
    <row r="140" spans="1:2" ht="12.75">
      <c r="A140" s="134" t="str">
        <f>"+ Depósitos y captaciones a plazo 30 a 89 días"</f>
        <v>+ Depósitos y captaciones a plazo 30 a 89 días</v>
      </c>
      <c r="B140" s="144">
        <v>3020</v>
      </c>
    </row>
    <row r="141" spans="1:2" ht="12.75">
      <c r="A141" s="134" t="str">
        <f>"+ Depósitos y captaciones a plazo 90 días a 1 año"</f>
        <v>+ Depósitos y captaciones a plazo 90 días a 1 año</v>
      </c>
      <c r="B141" s="144">
        <v>3025</v>
      </c>
    </row>
    <row r="142" spans="1:2" ht="12.75">
      <c r="A142" s="134" t="str">
        <f>"+ Otros saldos acreedores a plazo"</f>
        <v>+ Otros saldos acreedores a plazo</v>
      </c>
      <c r="B142" s="144">
        <v>3030</v>
      </c>
    </row>
    <row r="143" spans="1:2" ht="12.75">
      <c r="A143" s="134" t="str">
        <f>"+ Depósitos de ahorro a plazo"</f>
        <v>+ Depósitos de ahorro a plazo</v>
      </c>
      <c r="B143" s="144">
        <v>3035</v>
      </c>
    </row>
    <row r="144" spans="1:2" ht="12.75">
      <c r="A144" s="130" t="str">
        <f>"+ Depósitos y captaciones (a más de 1 año)"</f>
        <v>+ Depósitos y captaciones (a más de 1 año)</v>
      </c>
      <c r="B144" s="146">
        <v>3065</v>
      </c>
    </row>
    <row r="146" spans="1:2" ht="12.75">
      <c r="A146" s="189" t="s">
        <v>259</v>
      </c>
      <c r="B146" s="190"/>
    </row>
    <row r="147" spans="1:2" ht="12.75">
      <c r="A147" s="147"/>
      <c r="B147" s="148"/>
    </row>
    <row r="148" spans="1:2" ht="12.75">
      <c r="A148" s="137" t="s">
        <v>202</v>
      </c>
      <c r="B148" s="137">
        <v>3005</v>
      </c>
    </row>
    <row r="149" spans="1:2" ht="12.75">
      <c r="A149" s="137" t="str">
        <f>"+ Otros saldos acreedores a la vista"</f>
        <v>+ Otros saldos acreedores a la vista</v>
      </c>
      <c r="B149" s="144">
        <v>3010</v>
      </c>
    </row>
    <row r="150" spans="1:2" ht="12.75">
      <c r="A150" s="137" t="str">
        <f>"+ Cuentas de depósito a la vista"</f>
        <v>+ Cuentas de depósito a la vista</v>
      </c>
      <c r="B150" s="144">
        <v>3015</v>
      </c>
    </row>
    <row r="151" spans="1:2" ht="12.75">
      <c r="A151" s="141" t="str">
        <f>"- Documentos a cargo de otros bancos (canje)"</f>
        <v>- Documentos a cargo de otros bancos (canje)</v>
      </c>
      <c r="B151" s="149">
        <v>1015</v>
      </c>
    </row>
    <row r="153" spans="1:2" ht="12.75">
      <c r="A153" s="189" t="s">
        <v>203</v>
      </c>
      <c r="B153" s="190"/>
    </row>
    <row r="154" spans="1:2" ht="12.75">
      <c r="A154" s="150"/>
      <c r="B154" s="133"/>
    </row>
    <row r="155" spans="1:2" ht="12.75">
      <c r="A155" s="134" t="str">
        <f>"   Depósitos y captaciones a plazo 30 a 89 días"</f>
        <v>   Depósitos y captaciones a plazo 30 a 89 días</v>
      </c>
      <c r="B155" s="137">
        <v>3020</v>
      </c>
    </row>
    <row r="156" spans="1:2" ht="12.75">
      <c r="A156" s="134" t="str">
        <f>"+ Depósitos y captaciones a plazo 90 días a 1 año"</f>
        <v>+ Depósitos y captaciones a plazo 90 días a 1 año</v>
      </c>
      <c r="B156" s="144">
        <v>3025</v>
      </c>
    </row>
    <row r="157" spans="1:2" ht="12.75">
      <c r="A157" s="134" t="str">
        <f>"+ Otros saldos acreedores a plazo"</f>
        <v>+ Otros saldos acreedores a plazo</v>
      </c>
      <c r="B157" s="144">
        <v>3030</v>
      </c>
    </row>
    <row r="158" spans="1:2" ht="12.75">
      <c r="A158" s="134" t="str">
        <f>"+ Depósitos de ahorro a plazo"</f>
        <v>+ Depósitos de ahorro a plazo</v>
      </c>
      <c r="B158" s="144">
        <v>3035</v>
      </c>
    </row>
    <row r="159" spans="1:2" ht="12.75">
      <c r="A159" s="130" t="str">
        <f>"+ Depósitos y captaciones (a más de 1 año)"</f>
        <v>+ Depósitos y captaciones (a más de 1 año)</v>
      </c>
      <c r="B159" s="146">
        <v>3065</v>
      </c>
    </row>
    <row r="161" spans="1:2" ht="12.75">
      <c r="A161" s="189" t="s">
        <v>118</v>
      </c>
      <c r="B161" s="190"/>
    </row>
    <row r="162" spans="1:2" ht="12.75">
      <c r="A162" s="132"/>
      <c r="B162" s="133"/>
    </row>
    <row r="163" spans="1:2" ht="12.75">
      <c r="A163" s="134" t="s">
        <v>204</v>
      </c>
      <c r="B163" s="139" t="s">
        <v>205</v>
      </c>
    </row>
    <row r="164" spans="1:2" ht="12.75">
      <c r="A164" s="130" t="str">
        <f>"+ Cartas de crédito simples o documentarias"</f>
        <v>+ Cartas de crédito simples o documentarias</v>
      </c>
      <c r="B164" s="146">
        <v>3615</v>
      </c>
    </row>
    <row r="166" spans="1:2" ht="12.75">
      <c r="A166" s="189" t="s">
        <v>119</v>
      </c>
      <c r="B166" s="190"/>
    </row>
    <row r="167" spans="1:2" ht="12.75">
      <c r="A167" s="133"/>
      <c r="B167" s="133"/>
    </row>
    <row r="168" spans="1:2" ht="12.75">
      <c r="A168" s="137" t="str">
        <f>"Obligaciones con letras  de crédito"</f>
        <v>Obligaciones con letras  de crédito</v>
      </c>
      <c r="B168" s="139" t="s">
        <v>206</v>
      </c>
    </row>
    <row r="169" spans="1:2" ht="12.75">
      <c r="A169" s="137" t="str">
        <f>" + Obligaciones por bonos (ordinarios)"</f>
        <v> + Obligaciones por bonos (ordinarios)</v>
      </c>
      <c r="B169" s="144">
        <v>3075</v>
      </c>
    </row>
    <row r="170" spans="1:2" ht="12.75">
      <c r="A170" s="141" t="s">
        <v>207</v>
      </c>
      <c r="B170" s="146">
        <v>4190</v>
      </c>
    </row>
    <row r="172" spans="1:2" ht="12.75">
      <c r="A172" s="189" t="s">
        <v>208</v>
      </c>
      <c r="B172" s="190"/>
    </row>
    <row r="173" spans="1:2" ht="12.75">
      <c r="A173" s="129"/>
      <c r="B173" s="129"/>
    </row>
    <row r="174" spans="1:2" ht="12.75">
      <c r="A174" s="141" t="str">
        <f>"Obligaciones con letras  de crédito"</f>
        <v>Obligaciones con letras  de crédito</v>
      </c>
      <c r="B174" s="131" t="s">
        <v>206</v>
      </c>
    </row>
    <row r="176" spans="1:2" ht="12.75">
      <c r="A176" s="189" t="s">
        <v>209</v>
      </c>
      <c r="B176" s="190"/>
    </row>
    <row r="177" spans="1:2" ht="12.75">
      <c r="A177" s="133"/>
      <c r="B177" s="133"/>
    </row>
    <row r="178" spans="1:2" ht="12.75">
      <c r="A178" s="141" t="str">
        <f>"Obligaciones por bonos (ordinarios)"</f>
        <v>Obligaciones por bonos (ordinarios)</v>
      </c>
      <c r="B178" s="151">
        <v>3075</v>
      </c>
    </row>
    <row r="180" spans="1:2" ht="12.75">
      <c r="A180" s="189" t="s">
        <v>210</v>
      </c>
      <c r="B180" s="190"/>
    </row>
    <row r="181" spans="1:2" ht="12.75">
      <c r="A181" s="132"/>
      <c r="B181" s="152"/>
    </row>
    <row r="182" spans="1:2" ht="12.75">
      <c r="A182" s="130" t="s">
        <v>210</v>
      </c>
      <c r="B182" s="141">
        <v>4190</v>
      </c>
    </row>
    <row r="184" spans="1:2" ht="12.75">
      <c r="A184" s="189" t="s">
        <v>75</v>
      </c>
      <c r="B184" s="190"/>
    </row>
    <row r="185" spans="1:2" ht="12.75">
      <c r="A185" s="133"/>
      <c r="B185" s="152"/>
    </row>
    <row r="186" spans="1:2" ht="12.75">
      <c r="A186" s="141" t="s">
        <v>75</v>
      </c>
      <c r="B186" s="131" t="s">
        <v>211</v>
      </c>
    </row>
    <row r="188" spans="1:2" ht="12.75">
      <c r="A188" s="189" t="s">
        <v>78</v>
      </c>
      <c r="B188" s="190"/>
    </row>
    <row r="189" spans="1:2" ht="12.75">
      <c r="A189" s="133"/>
      <c r="B189" s="152"/>
    </row>
    <row r="190" spans="1:2" ht="12.75">
      <c r="A190" s="130" t="s">
        <v>78</v>
      </c>
      <c r="B190" s="131" t="s">
        <v>212</v>
      </c>
    </row>
    <row r="192" spans="1:2" ht="12.75">
      <c r="A192" s="189" t="s">
        <v>77</v>
      </c>
      <c r="B192" s="190"/>
    </row>
    <row r="193" spans="1:2" ht="12.75">
      <c r="A193" s="133"/>
      <c r="B193" s="152"/>
    </row>
    <row r="194" spans="1:2" ht="12.75">
      <c r="A194" s="137" t="s">
        <v>213</v>
      </c>
      <c r="B194" s="139">
        <v>1350</v>
      </c>
    </row>
    <row r="195" spans="1:2" ht="12.75">
      <c r="A195" s="141" t="str">
        <f>"+ contratos de leasing vencidos"</f>
        <v>+ contratos de leasing vencidos</v>
      </c>
      <c r="B195" s="146">
        <v>1421</v>
      </c>
    </row>
    <row r="196" spans="1:2" ht="12.75">
      <c r="A196" s="6"/>
      <c r="B196" s="153"/>
    </row>
    <row r="197" spans="1:2" ht="12.75">
      <c r="A197" s="189" t="s">
        <v>95</v>
      </c>
      <c r="B197" s="190"/>
    </row>
    <row r="198" spans="1:2" ht="12.75">
      <c r="A198" s="133"/>
      <c r="B198" s="152"/>
    </row>
    <row r="199" spans="1:2" ht="12.75">
      <c r="A199" s="137" t="s">
        <v>214</v>
      </c>
      <c r="B199" s="136">
        <v>1135</v>
      </c>
    </row>
    <row r="200" spans="1:2" ht="12.75">
      <c r="A200" s="141" t="str">
        <f>"+ Operaciones de factoraje vencidas"</f>
        <v>+ Operaciones de factoraje vencidas</v>
      </c>
      <c r="B200" s="140">
        <v>1418</v>
      </c>
    </row>
    <row r="202" spans="1:2" ht="12.75">
      <c r="A202" s="189" t="s">
        <v>76</v>
      </c>
      <c r="B202" s="190"/>
    </row>
    <row r="203" spans="1:2" ht="12.75">
      <c r="A203" s="133"/>
      <c r="B203" s="133"/>
    </row>
    <row r="204" spans="1:2" ht="12.75">
      <c r="A204" s="137" t="str">
        <f>"   Deudores por boletas de garantía y consig. judic. (hasta 1 año)"</f>
        <v>   Deudores por boletas de garantía y consig. judic. (hasta 1 año)</v>
      </c>
      <c r="B204" s="135">
        <v>1605</v>
      </c>
    </row>
    <row r="205" spans="1:2" ht="12.75">
      <c r="A205" s="137" t="str">
        <f>"+ Deudores por avales y fianzas (hasta 1 año)"</f>
        <v>+ Deudores por avales y fianzas (hasta 1 año)</v>
      </c>
      <c r="B205" s="136">
        <v>1610</v>
      </c>
    </row>
    <row r="206" spans="1:2" ht="12.75">
      <c r="A206" s="137" t="str">
        <f>"+ Deudores por carta crédito simples y documentarias"</f>
        <v>+ Deudores por carta crédito simples y documentarias</v>
      </c>
      <c r="B206" s="136">
        <v>1615</v>
      </c>
    </row>
    <row r="207" spans="1:2" ht="12.75">
      <c r="A207" s="137" t="str">
        <f>"+ Deudores por carta crédito del exterior confirmadas"</f>
        <v>+ Deudores por carta crédito del exterior confirmadas</v>
      </c>
      <c r="B207" s="136">
        <v>1620</v>
      </c>
    </row>
    <row r="208" spans="1:2" ht="12.75">
      <c r="A208" s="137" t="str">
        <f>"+ Deudores por boletas de garantía y consig. judic. (a más de 1 año)"</f>
        <v>+ Deudores por boletas de garantía y consig. judic. (a más de 1 año)</v>
      </c>
      <c r="B208" s="136">
        <v>1655</v>
      </c>
    </row>
    <row r="209" spans="1:2" ht="12.75">
      <c r="A209" s="141" t="str">
        <f>"+ Deudores por avales y fianzas (a más de 1 año)"</f>
        <v>+ Deudores por avales y fianzas (a más de 1 año)</v>
      </c>
      <c r="B209" s="140">
        <v>1660</v>
      </c>
    </row>
    <row r="212" spans="1:2" ht="12.75">
      <c r="A212" s="189" t="s">
        <v>79</v>
      </c>
      <c r="B212" s="190"/>
    </row>
    <row r="213" spans="1:2" ht="12.75">
      <c r="A213" s="132"/>
      <c r="B213" s="133"/>
    </row>
    <row r="214" spans="1:2" ht="12.75">
      <c r="A214" s="130" t="s">
        <v>79</v>
      </c>
      <c r="B214" s="131" t="s">
        <v>215</v>
      </c>
    </row>
    <row r="215" spans="1:2" ht="12.75">
      <c r="A215" s="6"/>
      <c r="B215" s="154"/>
    </row>
    <row r="217" spans="1:2" ht="12.75">
      <c r="A217" s="189" t="s">
        <v>216</v>
      </c>
      <c r="B217" s="190"/>
    </row>
    <row r="218" spans="1:2" ht="12.75">
      <c r="A218" s="132"/>
      <c r="B218" s="133"/>
    </row>
    <row r="219" spans="1:2" ht="12.75">
      <c r="A219" s="134" t="s">
        <v>217</v>
      </c>
      <c r="B219" s="139" t="s">
        <v>218</v>
      </c>
    </row>
    <row r="220" spans="1:2" ht="12.75">
      <c r="A220" s="134" t="str">
        <f>"+ Reajustes percibidos y devengados"</f>
        <v>+ Reajustes percibidos y devengados</v>
      </c>
      <c r="B220" s="139" t="s">
        <v>219</v>
      </c>
    </row>
    <row r="221" spans="1:2" ht="12.75">
      <c r="A221" s="134" t="str">
        <f>"- Intereses pagados y devengados"</f>
        <v>- Intereses pagados y devengados</v>
      </c>
      <c r="B221" s="139" t="s">
        <v>220</v>
      </c>
    </row>
    <row r="222" spans="1:2" ht="12.75">
      <c r="A222" s="134" t="str">
        <f>"- Reajustes pagados y devengados"</f>
        <v>- Reajustes pagados y devengados</v>
      </c>
      <c r="B222" s="139" t="str">
        <f>"- 5305 a 5400"</f>
        <v>- 5305 a 5400</v>
      </c>
    </row>
    <row r="223" spans="1:2" ht="12.75">
      <c r="A223" s="134" t="str">
        <f>"+ Utilidades de cambio"</f>
        <v>+ Utilidades de cambio</v>
      </c>
      <c r="B223" s="139" t="s">
        <v>221</v>
      </c>
    </row>
    <row r="224" spans="1:2" ht="12.75">
      <c r="A224" s="130" t="str">
        <f>"- Pérdidas de cambio"</f>
        <v>- Pérdidas de cambio</v>
      </c>
      <c r="B224" s="131" t="str">
        <f>"- 5705 a 5710"</f>
        <v>- 5705 a 5710</v>
      </c>
    </row>
    <row r="226" spans="1:2" ht="12.75">
      <c r="A226" s="189" t="s">
        <v>82</v>
      </c>
      <c r="B226" s="190"/>
    </row>
    <row r="227" spans="1:2" ht="12.75">
      <c r="A227" s="133"/>
      <c r="B227" s="133"/>
    </row>
    <row r="228" spans="1:2" ht="12.75">
      <c r="A228" s="137" t="str">
        <f>"  Comisiones percibidas y devengadas"</f>
        <v>  Comisiones percibidas y devengadas</v>
      </c>
      <c r="B228" s="139" t="s">
        <v>222</v>
      </c>
    </row>
    <row r="229" spans="1:2" ht="12.75">
      <c r="A229" s="141" t="str">
        <f>"- Comisiones pagadas y devengadas"</f>
        <v>- Comisiones pagadas y devengadas</v>
      </c>
      <c r="B229" s="131" t="str">
        <f>"- 5505 a 5530"</f>
        <v>- 5505 a 5530</v>
      </c>
    </row>
    <row r="231" spans="1:2" ht="12.75">
      <c r="A231" s="189" t="s">
        <v>223</v>
      </c>
      <c r="B231" s="190"/>
    </row>
    <row r="232" spans="1:2" ht="12.75">
      <c r="A232" s="133"/>
      <c r="B232" s="133"/>
    </row>
    <row r="233" spans="1:2" ht="12.75">
      <c r="A233" s="137"/>
      <c r="B233" s="137"/>
    </row>
    <row r="234" spans="1:2" ht="12.75">
      <c r="A234" s="141" t="s">
        <v>224</v>
      </c>
      <c r="B234" s="155" t="s">
        <v>225</v>
      </c>
    </row>
    <row r="236" spans="1:2" ht="12.75">
      <c r="A236" s="189" t="s">
        <v>226</v>
      </c>
      <c r="B236" s="190"/>
    </row>
    <row r="237" spans="1:2" ht="12.75">
      <c r="A237" s="132"/>
      <c r="B237" s="133"/>
    </row>
    <row r="238" spans="1:2" ht="12.75">
      <c r="A238" s="134" t="s">
        <v>227</v>
      </c>
      <c r="B238" s="139" t="s">
        <v>228</v>
      </c>
    </row>
    <row r="239" spans="1:2" ht="12.75">
      <c r="A239" s="134" t="str">
        <f>"- Pérdidas por diferencias de precio"</f>
        <v>- Pérdidas por diferencias de precio</v>
      </c>
      <c r="B239" s="139" t="str">
        <f>"- 5605 a 5650"</f>
        <v>- 5605 a 5650</v>
      </c>
    </row>
    <row r="240" spans="1:2" ht="12.75">
      <c r="A240" s="134" t="str">
        <f>"+ Otros Ingresos de operación"</f>
        <v>+ Otros Ingresos de operación</v>
      </c>
      <c r="B240" s="136">
        <v>7910</v>
      </c>
    </row>
    <row r="241" spans="1:2" ht="12.75">
      <c r="A241" s="134" t="str">
        <f>"- Otros gastos de operación"</f>
        <v>- Otros gastos de operación</v>
      </c>
      <c r="B241" s="139" t="str">
        <f>"- 5900"</f>
        <v>- 5900</v>
      </c>
    </row>
    <row r="242" spans="1:2" ht="12.75">
      <c r="A242" s="134" t="str">
        <f>"+ Corrección Monetaria (ingreso)"</f>
        <v>+ Corrección Monetaria (ingreso)</v>
      </c>
      <c r="B242" s="136">
        <v>8405</v>
      </c>
    </row>
    <row r="243" spans="1:2" ht="12.75">
      <c r="A243" s="130" t="str">
        <f>"- Corrección Monetaria (gasto)"</f>
        <v>- Corrección Monetaria (gasto)</v>
      </c>
      <c r="B243" s="143">
        <v>6405</v>
      </c>
    </row>
    <row r="245" spans="1:2" ht="12.75">
      <c r="A245" s="187" t="s">
        <v>84</v>
      </c>
      <c r="B245" s="188"/>
    </row>
    <row r="246" spans="1:2" ht="12.75">
      <c r="A246" s="132"/>
      <c r="B246" s="168"/>
    </row>
    <row r="247" spans="1:2" ht="12.75">
      <c r="A247" s="134" t="s">
        <v>229</v>
      </c>
      <c r="B247" s="169"/>
    </row>
    <row r="248" spans="1:2" ht="12.75">
      <c r="A248" s="134" t="str">
        <f>"+ Comisiones netas"</f>
        <v>+ Comisiones netas</v>
      </c>
      <c r="B248" s="169"/>
    </row>
    <row r="249" spans="1:2" ht="12.75">
      <c r="A249" s="134" t="str">
        <f>"+ Recuperación de colocaciones  e inversiones castigadas"</f>
        <v>+ Recuperación de colocaciones  e inversiones castigadas</v>
      </c>
      <c r="B249" s="169"/>
    </row>
    <row r="250" spans="1:2" ht="12.75">
      <c r="A250" s="130" t="str">
        <f>"+ Otros ingresos de operación netos"</f>
        <v>+ Otros ingresos de operación netos</v>
      </c>
      <c r="B250" s="170"/>
    </row>
    <row r="251" spans="1:2" ht="12.75">
      <c r="A251" s="6"/>
      <c r="B251" s="6"/>
    </row>
    <row r="252" spans="1:2" ht="12.75">
      <c r="A252" s="189" t="s">
        <v>85</v>
      </c>
      <c r="B252" s="190"/>
    </row>
    <row r="253" spans="1:2" ht="12.75">
      <c r="A253" s="133"/>
      <c r="B253" s="133"/>
    </row>
    <row r="254" spans="1:2" ht="12.75">
      <c r="A254" s="141" t="s">
        <v>85</v>
      </c>
      <c r="B254" s="131" t="s">
        <v>230</v>
      </c>
    </row>
    <row r="255" spans="1:2" ht="12.75">
      <c r="A255" s="6"/>
      <c r="B255" s="6"/>
    </row>
    <row r="256" spans="1:2" ht="12.75">
      <c r="A256" s="189" t="s">
        <v>49</v>
      </c>
      <c r="B256" s="190"/>
    </row>
    <row r="257" spans="1:2" ht="12.75">
      <c r="A257" s="133"/>
      <c r="B257" s="133"/>
    </row>
    <row r="258" spans="1:2" ht="12.75">
      <c r="A258" s="137" t="s">
        <v>231</v>
      </c>
      <c r="B258" s="139" t="s">
        <v>232</v>
      </c>
    </row>
    <row r="259" spans="1:2" ht="12.75">
      <c r="A259" s="141" t="s">
        <v>233</v>
      </c>
      <c r="B259" s="155" t="s">
        <v>234</v>
      </c>
    </row>
    <row r="261" spans="1:2" ht="12.75">
      <c r="A261" s="187" t="s">
        <v>86</v>
      </c>
      <c r="B261" s="188"/>
    </row>
    <row r="262" spans="1:2" ht="12.75">
      <c r="A262" s="132"/>
      <c r="B262" s="168"/>
    </row>
    <row r="263" spans="1:2" ht="12.75">
      <c r="A263" s="134" t="s">
        <v>235</v>
      </c>
      <c r="B263" s="169"/>
    </row>
    <row r="264" spans="1:2" ht="12.75">
      <c r="A264" s="134" t="str">
        <f>"- Gastos de apoyo operacional"</f>
        <v>- Gastos de apoyo operacional</v>
      </c>
      <c r="B264" s="169"/>
    </row>
    <row r="265" spans="1:2" ht="12.75">
      <c r="A265" s="130" t="str">
        <f>"- Gasto en provisiones"</f>
        <v>- Gasto en provisiones</v>
      </c>
      <c r="B265" s="170"/>
    </row>
    <row r="266" spans="1:2" ht="12.75">
      <c r="A266" s="64"/>
      <c r="B266" s="64"/>
    </row>
    <row r="267" spans="1:2" ht="12.75">
      <c r="A267" s="189" t="s">
        <v>260</v>
      </c>
      <c r="B267" s="190"/>
    </row>
    <row r="268" spans="1:2" ht="12.75">
      <c r="A268" s="133"/>
      <c r="B268" s="133"/>
    </row>
    <row r="269" spans="1:2" ht="12.75">
      <c r="A269" s="156" t="s">
        <v>237</v>
      </c>
      <c r="B269" s="157">
        <v>8350</v>
      </c>
    </row>
    <row r="270" spans="1:2" ht="12.75">
      <c r="A270" s="156" t="str">
        <f>"- Pérdidas por inversión en sociedades"</f>
        <v>- Pérdidas por inversión en sociedades</v>
      </c>
      <c r="B270" s="158">
        <v>6350</v>
      </c>
    </row>
    <row r="271" spans="1:2" ht="12.75">
      <c r="A271" s="134" t="str">
        <f>"+ Utilidades de sucursales en el exterior"</f>
        <v>+ Utilidades de sucursales en el exterior</v>
      </c>
      <c r="B271" s="136">
        <v>8320</v>
      </c>
    </row>
    <row r="272" spans="1:2" ht="12.75">
      <c r="A272" s="130" t="str">
        <f>"- Perdidas de sucursales en el exterior"</f>
        <v>- Perdidas de sucursales en el exterior</v>
      </c>
      <c r="B272" s="143">
        <v>6320</v>
      </c>
    </row>
    <row r="273" spans="1:2" ht="12.75">
      <c r="A273" s="64"/>
      <c r="B273" s="64"/>
    </row>
    <row r="274" spans="1:2" ht="12.75">
      <c r="A274" s="187" t="s">
        <v>261</v>
      </c>
      <c r="B274" s="188"/>
    </row>
    <row r="275" spans="1:2" ht="12.75">
      <c r="A275" s="191" t="s">
        <v>238</v>
      </c>
      <c r="B275" s="192"/>
    </row>
    <row r="276" spans="1:2" ht="12.75">
      <c r="A276" s="128"/>
      <c r="B276" s="159"/>
    </row>
    <row r="277" spans="1:2" ht="12.75">
      <c r="A277" s="171" t="s">
        <v>239</v>
      </c>
      <c r="B277" s="172"/>
    </row>
    <row r="278" spans="1:2" ht="12.75">
      <c r="A278" s="173" t="str">
        <f>"+ Utilidades de inversiones en sociedades y de sucurs. en el exterior"</f>
        <v>+ Utilidades de inversiones en sociedades y de sucurs. en el exterior</v>
      </c>
      <c r="B278" s="174"/>
    </row>
    <row r="279" spans="1:2" ht="12.75">
      <c r="A279" s="64"/>
      <c r="B279" s="64"/>
    </row>
    <row r="280" spans="1:2" ht="12.75">
      <c r="A280" s="189" t="s">
        <v>107</v>
      </c>
      <c r="B280" s="190"/>
    </row>
    <row r="281" spans="1:2" ht="12.75">
      <c r="A281" s="132"/>
      <c r="B281" s="133"/>
    </row>
    <row r="282" spans="1:2" ht="12.75">
      <c r="A282" s="134" t="s">
        <v>240</v>
      </c>
      <c r="B282" s="139" t="s">
        <v>241</v>
      </c>
    </row>
    <row r="283" spans="1:2" ht="12.75">
      <c r="A283" s="134" t="s">
        <v>242</v>
      </c>
      <c r="B283" s="136">
        <v>8115</v>
      </c>
    </row>
    <row r="284" spans="1:2" ht="12.75">
      <c r="A284" s="130" t="str">
        <f>"- Gastos no operacionales"</f>
        <v>- Gastos no operacionales</v>
      </c>
      <c r="B284" s="131" t="str">
        <f>"- 6305 a 6315"</f>
        <v>- 6305 a 6315</v>
      </c>
    </row>
    <row r="285" spans="1:2" ht="12.75">
      <c r="A285" s="64"/>
      <c r="B285" s="64"/>
    </row>
    <row r="286" spans="1:2" ht="12.75">
      <c r="A286" s="187" t="s">
        <v>102</v>
      </c>
      <c r="B286" s="188"/>
    </row>
    <row r="287" spans="1:2" ht="12.75">
      <c r="A287" s="132"/>
      <c r="B287" s="168"/>
    </row>
    <row r="288" spans="1:2" ht="12.75">
      <c r="A288" s="171" t="s">
        <v>262</v>
      </c>
      <c r="B288" s="169"/>
    </row>
    <row r="289" spans="1:2" ht="12.75">
      <c r="A289" s="171" t="s">
        <v>243</v>
      </c>
      <c r="B289" s="169"/>
    </row>
    <row r="290" spans="1:2" ht="12.75">
      <c r="A290" s="130" t="str">
        <f>"+ Otros ingresos netos"</f>
        <v>+ Otros ingresos netos</v>
      </c>
      <c r="B290" s="170"/>
    </row>
    <row r="291" spans="1:2" ht="12.75">
      <c r="A291" s="6"/>
      <c r="B291" s="6"/>
    </row>
    <row r="292" spans="1:2" ht="12.75">
      <c r="A292" s="189" t="s">
        <v>96</v>
      </c>
      <c r="B292" s="190"/>
    </row>
    <row r="293" spans="1:2" ht="12.75">
      <c r="A293" s="133"/>
      <c r="B293" s="133"/>
    </row>
    <row r="294" spans="1:2" ht="12.75">
      <c r="A294" s="160" t="s">
        <v>244</v>
      </c>
      <c r="B294" s="141">
        <v>6605</v>
      </c>
    </row>
    <row r="295" ht="12.75">
      <c r="A295" s="6"/>
    </row>
    <row r="296" spans="1:2" ht="12.75">
      <c r="A296" s="187" t="s">
        <v>87</v>
      </c>
      <c r="B296" s="188"/>
    </row>
    <row r="297" spans="1:2" ht="12.75">
      <c r="A297" s="132"/>
      <c r="B297" s="168"/>
    </row>
    <row r="298" spans="1:2" ht="12.75">
      <c r="A298" s="171" t="s">
        <v>245</v>
      </c>
      <c r="B298" s="169"/>
    </row>
    <row r="299" spans="1:2" ht="12.75">
      <c r="A299" s="130" t="str">
        <f>"- Impuestos"</f>
        <v>- Impuestos</v>
      </c>
      <c r="B299" s="170"/>
    </row>
    <row r="300" ht="12.75">
      <c r="A300" s="6"/>
    </row>
    <row r="301" spans="1:2" ht="12.75">
      <c r="A301" s="189" t="s">
        <v>131</v>
      </c>
      <c r="B301" s="190"/>
    </row>
    <row r="302" spans="1:2" ht="12.75">
      <c r="A302" s="128"/>
      <c r="B302" s="129"/>
    </row>
    <row r="303" spans="1:2" ht="12.75">
      <c r="A303" s="161" t="s">
        <v>131</v>
      </c>
      <c r="B303" s="141">
        <v>9602</v>
      </c>
    </row>
  </sheetData>
  <mergeCells count="40">
    <mergeCell ref="A146:B146"/>
    <mergeCell ref="A153:B153"/>
    <mergeCell ref="A161:B161"/>
    <mergeCell ref="A123:B123"/>
    <mergeCell ref="A127:B127"/>
    <mergeCell ref="A134:B134"/>
    <mergeCell ref="A79:B79"/>
    <mergeCell ref="A84:B84"/>
    <mergeCell ref="A102:B102"/>
    <mergeCell ref="A112:B112"/>
    <mergeCell ref="A12:B12"/>
    <mergeCell ref="A16:B16"/>
    <mergeCell ref="A47:B47"/>
    <mergeCell ref="A70:B70"/>
    <mergeCell ref="A166:B166"/>
    <mergeCell ref="A172:B172"/>
    <mergeCell ref="A176:B176"/>
    <mergeCell ref="A180:B180"/>
    <mergeCell ref="A184:B184"/>
    <mergeCell ref="A188:B188"/>
    <mergeCell ref="A192:B192"/>
    <mergeCell ref="A197:B197"/>
    <mergeCell ref="A202:B202"/>
    <mergeCell ref="A212:B212"/>
    <mergeCell ref="A217:B217"/>
    <mergeCell ref="A226:B226"/>
    <mergeCell ref="A231:B231"/>
    <mergeCell ref="A236:B236"/>
    <mergeCell ref="A245:B245"/>
    <mergeCell ref="A252:B252"/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- Diciembre 2004</dc:title>
  <dc:subject/>
  <dc:creator>Superintendencia de Bancos e Instituciones Financieras - SBIF</dc:creator>
  <cp:keywords/>
  <dc:description/>
  <cp:lastModifiedBy>Juan Carlos Camus</cp:lastModifiedBy>
  <cp:lastPrinted>2005-04-04T21:13:17Z</cp:lastPrinted>
  <dcterms:created xsi:type="dcterms:W3CDTF">1998-06-19T14:09:35Z</dcterms:created>
  <dcterms:modified xsi:type="dcterms:W3CDTF">2005-04-07T14:29:47Z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1423116905</vt:i4>
  </property>
  <property fmtid="{D5CDD505-2E9C-101B-9397-08002B2CF9AE}" pid="3" name="_EmailSubject">
    <vt:lpwstr>Información Financiera Mensual - Diciembre de 200412.XLS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