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65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Bancos'!$A$4:$P$52</definedName>
    <definedName name="_xlnm.Print_Area" localSheetId="5">'Definiciones Usadas'!$A$3:$B$305</definedName>
    <definedName name="_xlnm.Print_Area" localSheetId="3">'Estado Resultados Bancos'!$A$3:$Q$51</definedName>
    <definedName name="_xlnm.Print_Area" localSheetId="4">'Indicadores Bancos'!$A$3:$L$54</definedName>
    <definedName name="_xlnm.Print_Area" localSheetId="0">'Indice'!$A$1:$B$23</definedName>
    <definedName name="_xlnm.Print_Area" localSheetId="1">'Información Sistema'!$B$3:$F$75</definedName>
  </definedNames>
  <calcPr fullCalcOnLoad="1"/>
</workbook>
</file>

<file path=xl/sharedStrings.xml><?xml version="1.0" encoding="utf-8"?>
<sst xmlns="http://schemas.openxmlformats.org/spreadsheetml/2006/main" count="453" uniqueCount="265">
  <si>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</si>
  <si>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</si>
  <si>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</si>
  <si>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</si>
  <si>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</si>
  <si>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</si>
  <si>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</si>
  <si>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</si>
  <si>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</si>
  <si>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</si>
  <si>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</si>
  <si>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</si>
  <si>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</si>
  <si>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</si>
  <si>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</si>
  <si>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</si>
  <si>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</si>
  <si>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</si>
  <si>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</si>
  <si>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</si>
  <si>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</si>
  <si>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</si>
  <si>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</si>
  <si>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</si>
  <si>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</si>
  <si>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</si>
  <si>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</si>
  <si>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</si>
  <si>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</si>
  <si>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</si>
  <si>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</si>
  <si>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</si>
  <si>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</si>
  <si>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</si>
  <si>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</si>
  <si>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</si>
  <si>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</si>
  <si>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</si>
  <si>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</si>
  <si>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</si>
  <si>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</si>
  <si>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</si>
  <si>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</si>
  <si>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</si>
  <si>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</si>
  <si>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</si>
  <si>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</si>
  <si>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</si>
  <si>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</si>
  <si>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</si>
  <si>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</si>
  <si>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</si>
  <si>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</si>
  <si>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</si>
  <si>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</si>
  <si>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</si>
  <si>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</si>
  <si>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</si>
  <si>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</si>
  <si>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</si>
  <si>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</si>
  <si>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</si>
  <si>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</si>
  <si>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</si>
  <si>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</si>
  <si>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</si>
  <si>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</si>
  <si>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</si>
  <si>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</si>
  <si>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</si>
  <si>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</si>
  <si>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</si>
  <si>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</si>
  <si>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</si>
  <si>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</si>
  <si>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</si>
  <si>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</si>
  <si>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</si>
  <si>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</si>
  <si>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</si>
  <si>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</si>
  <si>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</si>
  <si>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</si>
  <si>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</si>
  <si>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</si>
  <si>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</si>
  <si>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</si>
  <si>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</si>
  <si>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</si>
  <si>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</si>
  <si>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</si>
  <si>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</si>
  <si>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</si>
  <si>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</si>
  <si>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</si>
  <si>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</si>
  <si>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</si>
  <si>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</si>
  <si>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</si>
  <si>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</si>
  <si>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</si>
  <si>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</si>
  <si>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</si>
  <si>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</si>
  <si>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</si>
  <si>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</si>
  <si>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</si>
  <si>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París</t>
  </si>
  <si>
    <t xml:space="preserve">París 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</si>
  <si>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</si>
  <si>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</si>
  <si>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</si>
  <si>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</si>
  <si>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</si>
  <si>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</si>
  <si>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</si>
  <si>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</si>
  <si>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</si>
  <si>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</si>
  <si>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</si>
  <si>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</si>
  <si>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</si>
  <si>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</si>
  <si>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</si>
  <si>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</si>
  <si>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</si>
  <si>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</si>
  <si>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</si>
  <si>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</si>
  <si>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</si>
  <si>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</si>
  <si>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</si>
  <si>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</si>
  <si>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</si>
  <si>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</si>
  <si>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</si>
  <si>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</si>
  <si>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</si>
  <si>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</si>
  <si>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</si>
  <si>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(1) A partir de enero de 2004 esta institución es propietaria en un 99% de Banco Conosur. Por lo tanto, su situación financiera se presenta consolidada con Banco Conosur.</t>
  </si>
  <si>
    <t>De Crédito e Inversiones   (2)</t>
  </si>
  <si>
    <t>Conosur                            (2)</t>
  </si>
  <si>
    <t>Del Estado de Chile</t>
  </si>
  <si>
    <t>De Crédito e Inversiones    (1)</t>
  </si>
  <si>
    <t>(3) El deflactor utilizado corresponde a la unidad de fomento (UF).</t>
  </si>
  <si>
    <t>(1) Corresponde a la variación real entre los resultados del mes, respecto de los registrados durante el mes anterior.</t>
  </si>
  <si>
    <t>Conosur                             (2)</t>
  </si>
  <si>
    <t>De Crédito e Inversiones    (2)</t>
  </si>
  <si>
    <t>(3) las variaciones son reales y usan como deflactor la unidad de fomento (UF).</t>
  </si>
  <si>
    <t>Actividad (variación en doce meses)  (3)</t>
  </si>
  <si>
    <t>Rentabilidad s/Capital y reservas  (4)</t>
  </si>
  <si>
    <t>(4) Los porcentajes de rentabilidad se determinan anualizando las cifras de resultados (dividiendo estos últimos por el número de meses transcurridos y luego multiplicándolos por doce).</t>
  </si>
  <si>
    <t>(5)  Esta institución está afecta a un régimen impositivo distinto que el del resto de la banca.</t>
  </si>
  <si>
    <t>Del Estado de Chile    (5)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</si>
  <si>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</si>
  <si>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</si>
  <si>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</si>
  <si>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</si>
  <si>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</si>
  <si>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</si>
  <si>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</si>
  <si>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</si>
  <si>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</si>
  <si>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</si>
  <si>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</si>
  <si>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</si>
  <si>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</si>
  <si>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</si>
  <si>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</si>
  <si>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</si>
  <si>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</si>
  <si>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</si>
  <si>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</si>
  <si>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</si>
  <si>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</si>
  <si>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</si>
  <si>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</si>
  <si>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</si>
  <si>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</si>
  <si>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</si>
  <si>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</si>
  <si>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</si>
  <si>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</si>
  <si>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</si>
  <si>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</si>
  <si>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</si>
  <si>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</si>
  <si>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</si>
  <si>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</si>
  <si>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</si>
  <si>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</si>
  <si>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</si>
  <si>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</si>
  <si>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</si>
  <si>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</si>
  <si>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</si>
  <si>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</si>
  <si>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</si>
  <si>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</si>
  <si>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</si>
  <si>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</si>
  <si>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</si>
  <si>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</si>
  <si>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</si>
  <si>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</si>
  <si>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</si>
  <si>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</si>
  <si>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</si>
  <si>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</si>
  <si>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</si>
  <si>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</si>
  <si>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</si>
  <si>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</si>
  <si>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</si>
  <si>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</si>
  <si>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</si>
  <si>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</si>
  <si>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</si>
  <si>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</si>
  <si>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</si>
  <si>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</si>
  <si>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</si>
  <si>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</si>
  <si>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</si>
  <si>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</si>
  <si>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</si>
  <si>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</si>
  <si>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</si>
  <si>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</si>
  <si>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</si>
  <si>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</si>
  <si>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</si>
  <si>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</si>
  <si>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</si>
  <si>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</si>
  <si>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</si>
  <si>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</si>
  <si>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</si>
  <si>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</si>
  <si>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</si>
  <si>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</si>
  <si>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</si>
  <si>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</si>
  <si>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</si>
  <si>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(2) Corresponde a la situación financiera individual de los bancos Conosur y De Crédito e Inversiones.  Este último incluye el capital y reservas, el excedente antes de impuestos y la utilidad final de Banco Conosur.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</si>
  <si>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</si>
  <si>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</si>
  <si>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</si>
  <si>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</si>
  <si>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</si>
  <si>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</si>
  <si>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</si>
  <si>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</si>
  <si>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</si>
  <si>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</si>
  <si>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</si>
  <si>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Reporte de Información Financiera Mensual - Marzo de 2005</t>
  </si>
  <si>
    <t xml:space="preserve"> AL MES DE MARZO DE 2005 </t>
  </si>
  <si>
    <t>dic'2004</t>
  </si>
  <si>
    <t>PRINCIPALES ACTIVOS Y PASIVOS POR INSTITUCIONES AL MES DE MARZO DE 2005</t>
  </si>
  <si>
    <t>ESTRUCTURA DEL ESTADO DE RESULTADOS POR INSTITUCIONES AL MES DE MARZO DE 2005</t>
  </si>
  <si>
    <t>INDICADORES POR INSTITUCIONES AL MES DE MARZO DE 2005</t>
  </si>
  <si>
    <t>---</t>
  </si>
  <si>
    <t>----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</si>
</sst>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</numFmts>
  <fonts count="2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3" fillId="2" borderId="0" xfId="0" applyNumberFormat="1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 quotePrefix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77.87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11" t="s">
        <v>257</v>
      </c>
    </row>
    <row r="9" ht="12.75">
      <c r="B9" s="112" t="s">
        <v>15</v>
      </c>
    </row>
    <row r="11" ht="12.75">
      <c r="B11" s="113" t="s">
        <v>160</v>
      </c>
    </row>
    <row r="13" ht="12.75">
      <c r="B13" s="112" t="s">
        <v>159</v>
      </c>
    </row>
    <row r="15" ht="12.75">
      <c r="B15" s="113" t="s">
        <v>164</v>
      </c>
    </row>
    <row r="17" ht="12.75">
      <c r="B17" s="113" t="s">
        <v>165</v>
      </c>
    </row>
    <row r="19" ht="12.75">
      <c r="B19" s="113" t="s">
        <v>161</v>
      </c>
    </row>
    <row r="21" ht="12.75">
      <c r="B21" s="113" t="s">
        <v>163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1" sqref="A1"/>
    </sheetView>
  </sheetViews>
  <sheetFormatPr defaultColWidth="11.00390625" defaultRowHeight="12.75"/>
  <cols>
    <col min="1" max="1" width="5.375" style="3" customWidth="1"/>
    <col min="2" max="2" width="68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10" t="s">
        <v>155</v>
      </c>
      <c r="F1" s="114" t="s">
        <v>162</v>
      </c>
    </row>
    <row r="2" ht="12.75">
      <c r="A2" s="110" t="s">
        <v>156</v>
      </c>
    </row>
    <row r="3" spans="1:6" ht="15.75">
      <c r="A3" s="110"/>
      <c r="B3" s="177" t="s">
        <v>157</v>
      </c>
      <c r="C3" s="177"/>
      <c r="D3" s="177"/>
      <c r="E3" s="177"/>
      <c r="F3" s="177"/>
    </row>
    <row r="4" spans="2:6" ht="15.75">
      <c r="B4" s="177" t="s">
        <v>158</v>
      </c>
      <c r="C4" s="177"/>
      <c r="D4" s="177"/>
      <c r="E4" s="177"/>
      <c r="F4" s="177"/>
    </row>
    <row r="5" spans="2:6" ht="15.75">
      <c r="B5" s="1" t="s">
        <v>258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80" t="s">
        <v>64</v>
      </c>
      <c r="C7" s="181"/>
      <c r="D7" s="181"/>
      <c r="E7" s="181"/>
      <c r="F7" s="182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65</v>
      </c>
      <c r="D9" s="9" t="s">
        <v>137</v>
      </c>
      <c r="E9" s="10"/>
      <c r="F9" s="11"/>
    </row>
    <row r="10" spans="2:6" ht="12.75">
      <c r="B10" s="12"/>
      <c r="C10" s="13" t="s">
        <v>66</v>
      </c>
      <c r="D10" s="14" t="s">
        <v>67</v>
      </c>
      <c r="E10" s="14" t="s">
        <v>259</v>
      </c>
      <c r="F10" s="14" t="s">
        <v>68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69</v>
      </c>
      <c r="C12" s="19">
        <v>39363621.8809</v>
      </c>
      <c r="D12" s="20">
        <v>1.9430291536725783</v>
      </c>
      <c r="E12" s="20">
        <v>4.761410612664818</v>
      </c>
      <c r="F12" s="20">
        <v>12.902465120867927</v>
      </c>
    </row>
    <row r="13" spans="2:6" ht="12.75">
      <c r="B13" s="21" t="s">
        <v>101</v>
      </c>
      <c r="C13" s="22">
        <v>26872033.5825</v>
      </c>
      <c r="D13" s="23">
        <v>1.7601592691078434</v>
      </c>
      <c r="E13" s="23">
        <v>4.888240807253787</v>
      </c>
      <c r="F13" s="23">
        <v>9.952373790827435</v>
      </c>
    </row>
    <row r="14" spans="2:6" ht="12.75">
      <c r="B14" s="24" t="s">
        <v>123</v>
      </c>
      <c r="C14" s="25">
        <v>22631450.8936</v>
      </c>
      <c r="D14" s="26">
        <v>1.6903938360854285</v>
      </c>
      <c r="E14" s="26">
        <v>3.9336130211155167</v>
      </c>
      <c r="F14" s="26">
        <v>9.386642011087483</v>
      </c>
    </row>
    <row r="15" spans="2:6" ht="12.75">
      <c r="B15" s="24" t="s">
        <v>124</v>
      </c>
      <c r="C15" s="25">
        <v>3719426.6009</v>
      </c>
      <c r="D15" s="26">
        <v>1.7923965229653254</v>
      </c>
      <c r="E15" s="26">
        <v>10.550998320690908</v>
      </c>
      <c r="F15" s="26">
        <v>12.124541729915109</v>
      </c>
    </row>
    <row r="16" spans="2:6" ht="12.75">
      <c r="B16" s="24" t="s">
        <v>125</v>
      </c>
      <c r="C16" s="25">
        <v>521156.088</v>
      </c>
      <c r="D16" s="26">
        <v>4.641154375685761</v>
      </c>
      <c r="E16" s="26">
        <v>8.50015749683825</v>
      </c>
      <c r="F16" s="26">
        <v>20.341299959724996</v>
      </c>
    </row>
    <row r="17" spans="2:6" ht="12.75">
      <c r="B17" s="21" t="s">
        <v>100</v>
      </c>
      <c r="C17" s="22">
        <v>12491588.2978</v>
      </c>
      <c r="D17" s="23">
        <v>2.3386571340997544</v>
      </c>
      <c r="E17" s="23">
        <v>4.4896091219293615</v>
      </c>
      <c r="F17" s="23">
        <v>19.818169210947353</v>
      </c>
    </row>
    <row r="18" spans="2:6" ht="12.75">
      <c r="B18" s="24" t="s">
        <v>126</v>
      </c>
      <c r="C18" s="25">
        <v>4623514.6671</v>
      </c>
      <c r="D18" s="26">
        <v>3.1086708767859483</v>
      </c>
      <c r="E18" s="26">
        <v>6.333053379060763</v>
      </c>
      <c r="F18" s="26">
        <v>18.852598770596483</v>
      </c>
    </row>
    <row r="19" spans="2:6" ht="12.75">
      <c r="B19" s="24" t="s">
        <v>127</v>
      </c>
      <c r="C19" s="25">
        <v>7868073.6307</v>
      </c>
      <c r="D19" s="26">
        <v>1.8915154753608923</v>
      </c>
      <c r="E19" s="26">
        <v>3.4358613139142866</v>
      </c>
      <c r="F19" s="26">
        <v>20.39292063254291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70</v>
      </c>
      <c r="C21" s="22">
        <v>9035627.024</v>
      </c>
      <c r="D21" s="23">
        <v>-1.153120190173904</v>
      </c>
      <c r="E21" s="23">
        <v>-2.33867098595538</v>
      </c>
      <c r="F21" s="23">
        <v>-7.388113668169556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71</v>
      </c>
      <c r="C23" s="28">
        <v>55969970.1166</v>
      </c>
      <c r="D23" s="29">
        <v>2.6861954996034525</v>
      </c>
      <c r="E23" s="29">
        <v>5.240762083675788</v>
      </c>
      <c r="F23" s="29">
        <v>12.160439292002387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72</v>
      </c>
      <c r="C25" s="19">
        <v>31554013.1099</v>
      </c>
      <c r="D25" s="20">
        <v>2.563508037069717</v>
      </c>
      <c r="E25" s="20">
        <v>5.398039777316954</v>
      </c>
      <c r="F25" s="20">
        <v>15.695582461688073</v>
      </c>
    </row>
    <row r="26" spans="2:6" ht="12.75">
      <c r="B26" s="24" t="s">
        <v>132</v>
      </c>
      <c r="C26" s="25">
        <v>7347683.9681</v>
      </c>
      <c r="D26" s="26">
        <v>0.9258804405600902</v>
      </c>
      <c r="E26" s="26">
        <v>0.39706431857008073</v>
      </c>
      <c r="F26" s="26">
        <v>17.82879788541745</v>
      </c>
    </row>
    <row r="27" spans="2:6" ht="12.75">
      <c r="B27" s="24" t="s">
        <v>102</v>
      </c>
      <c r="C27" s="25">
        <v>24206329.1418</v>
      </c>
      <c r="D27" s="26">
        <v>3.071166143471105</v>
      </c>
      <c r="E27" s="26">
        <v>7.0161366266802165</v>
      </c>
      <c r="F27" s="26">
        <v>15.063255847733753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115</v>
      </c>
      <c r="C29" s="22">
        <v>3419696.3356</v>
      </c>
      <c r="D29" s="23">
        <v>5.513860546970567</v>
      </c>
      <c r="E29" s="23">
        <v>7.886071582861451</v>
      </c>
      <c r="F29" s="23">
        <v>7.2878780675399115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116</v>
      </c>
      <c r="C31" s="22">
        <v>7587797.1953</v>
      </c>
      <c r="D31" s="23">
        <v>0.3328742084154657</v>
      </c>
      <c r="E31" s="23">
        <v>-3.9356645212414527</v>
      </c>
      <c r="F31" s="23">
        <v>-3.129637907919257</v>
      </c>
    </row>
    <row r="32" spans="2:6" ht="12.75">
      <c r="B32" s="24" t="s">
        <v>117</v>
      </c>
      <c r="C32" s="25">
        <v>5395175.6544</v>
      </c>
      <c r="D32" s="26">
        <v>-0.7768853713618006</v>
      </c>
      <c r="E32" s="26">
        <v>-6.659420809930882</v>
      </c>
      <c r="F32" s="26">
        <v>-13.489366740370201</v>
      </c>
    </row>
    <row r="33" spans="2:6" ht="15" customHeight="1">
      <c r="B33" s="24" t="s">
        <v>118</v>
      </c>
      <c r="C33" s="25">
        <v>769395.9046</v>
      </c>
      <c r="D33" s="26">
        <v>0.2756726991378594</v>
      </c>
      <c r="E33" s="26">
        <v>-0.8405652822120009</v>
      </c>
      <c r="F33" s="26">
        <v>83.11909350037627</v>
      </c>
    </row>
    <row r="34" spans="2:6" ht="12.75">
      <c r="B34" s="24" t="s">
        <v>119</v>
      </c>
      <c r="C34" s="25">
        <v>1423225.6363</v>
      </c>
      <c r="D34" s="26">
        <v>4.808909099668699</v>
      </c>
      <c r="E34" s="26">
        <v>6.001442614743077</v>
      </c>
      <c r="F34" s="26">
        <v>20.98681606627755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73</v>
      </c>
      <c r="C36" s="28">
        <v>4381739.5336</v>
      </c>
      <c r="D36" s="29">
        <v>-3.93295191595386</v>
      </c>
      <c r="E36" s="29">
        <v>11.100513292611033</v>
      </c>
      <c r="F36" s="29">
        <v>3.682155740137083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33" t="s">
        <v>27</v>
      </c>
      <c r="C38" s="34"/>
      <c r="D38" s="35"/>
      <c r="E38" s="35"/>
      <c r="F38" s="35"/>
    </row>
    <row r="39" spans="2:6" ht="12.75">
      <c r="B39" s="36" t="s">
        <v>76</v>
      </c>
      <c r="C39" s="37">
        <v>472365.4783</v>
      </c>
      <c r="D39" s="38">
        <v>0.41466428346048095</v>
      </c>
      <c r="E39" s="38">
        <v>4.544286385480901</v>
      </c>
      <c r="F39" s="38">
        <v>-13.721130478613198</v>
      </c>
    </row>
    <row r="40" spans="2:6" ht="12.75">
      <c r="B40" s="24" t="s">
        <v>75</v>
      </c>
      <c r="C40" s="25">
        <v>1700926.9672</v>
      </c>
      <c r="D40" s="26">
        <v>2.5486768214171303</v>
      </c>
      <c r="E40" s="26">
        <v>5.110490827588615</v>
      </c>
      <c r="F40" s="26">
        <v>21.47850675040309</v>
      </c>
    </row>
    <row r="41" spans="2:6" ht="12.75">
      <c r="B41" s="24" t="s">
        <v>93</v>
      </c>
      <c r="C41" s="25">
        <v>319436.8296</v>
      </c>
      <c r="D41" s="26">
        <v>20.4627907495356</v>
      </c>
      <c r="E41" s="26">
        <v>19.445707957960586</v>
      </c>
      <c r="F41" s="26">
        <v>138.37601107234227</v>
      </c>
    </row>
    <row r="42" spans="2:6" ht="12.75">
      <c r="B42" s="39" t="s">
        <v>74</v>
      </c>
      <c r="C42" s="40">
        <v>2868728.1955</v>
      </c>
      <c r="D42" s="41">
        <v>-0.5699103716127378</v>
      </c>
      <c r="E42" s="41">
        <v>3.8192444323294903</v>
      </c>
      <c r="F42" s="41">
        <v>13.380494501520712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77</v>
      </c>
      <c r="C44" s="43">
        <v>36494893.6854</v>
      </c>
      <c r="D44" s="44">
        <v>2.1459574876320517</v>
      </c>
      <c r="E44" s="44">
        <v>4.836196250366837</v>
      </c>
      <c r="F44" s="44">
        <v>12.865059828440145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80" t="s">
        <v>78</v>
      </c>
      <c r="C46" s="181"/>
      <c r="D46" s="181"/>
      <c r="E46" s="181"/>
      <c r="F46" s="182"/>
    </row>
    <row r="47" spans="2:6" ht="9" customHeight="1">
      <c r="B47" s="47"/>
      <c r="C47" s="48"/>
      <c r="D47" s="49"/>
      <c r="E47" s="49"/>
      <c r="F47" s="50"/>
    </row>
    <row r="48" spans="2:5" ht="12.75">
      <c r="B48" s="7"/>
      <c r="C48" s="51" t="s">
        <v>79</v>
      </c>
      <c r="D48" s="178" t="s">
        <v>133</v>
      </c>
      <c r="E48" s="179"/>
    </row>
    <row r="49" spans="2:5" ht="12.75">
      <c r="B49" s="52"/>
      <c r="C49" s="51" t="s">
        <v>66</v>
      </c>
      <c r="D49" s="53" t="s">
        <v>134</v>
      </c>
      <c r="E49" s="53" t="s">
        <v>135</v>
      </c>
    </row>
    <row r="50" spans="2:5" ht="12.75">
      <c r="B50" s="36" t="s">
        <v>208</v>
      </c>
      <c r="C50" s="151">
        <v>446300.5396</v>
      </c>
      <c r="D50" s="152">
        <v>31.232652653296654</v>
      </c>
      <c r="E50" s="38">
        <v>6.606792868046611</v>
      </c>
    </row>
    <row r="51" spans="2:5" ht="12.75">
      <c r="B51" s="24" t="s">
        <v>80</v>
      </c>
      <c r="C51" s="54">
        <v>113588.1738</v>
      </c>
      <c r="D51" s="26">
        <v>4.361621284247616</v>
      </c>
      <c r="E51" s="26">
        <v>4.673158399234884</v>
      </c>
    </row>
    <row r="52" spans="2:5" ht="12.75">
      <c r="B52" s="24" t="s">
        <v>215</v>
      </c>
      <c r="C52" s="54">
        <v>32653.6166</v>
      </c>
      <c r="D52" s="26">
        <v>27.492686016116558</v>
      </c>
      <c r="E52" s="26">
        <v>7.138498066426512</v>
      </c>
    </row>
    <row r="53" spans="2:6" ht="12.75">
      <c r="B53" s="39" t="s">
        <v>81</v>
      </c>
      <c r="C53" s="55">
        <v>45836.5575</v>
      </c>
      <c r="D53" s="153">
        <v>-99.61608231372644</v>
      </c>
      <c r="E53" s="41">
        <v>-38.39064308929831</v>
      </c>
      <c r="F53" s="77"/>
    </row>
    <row r="54" spans="2:5" ht="12.75">
      <c r="B54" s="56" t="s">
        <v>82</v>
      </c>
      <c r="C54" s="57">
        <v>638378.8876</v>
      </c>
      <c r="D54" s="58">
        <v>12.994552939013667</v>
      </c>
      <c r="E54" s="58">
        <v>1.0036613438734203</v>
      </c>
    </row>
    <row r="55" spans="2:5" ht="12.75">
      <c r="B55" s="36" t="s">
        <v>83</v>
      </c>
      <c r="C55" s="59">
        <v>323259.0661</v>
      </c>
      <c r="D55" s="38">
        <v>3.7971527932356515</v>
      </c>
      <c r="E55" s="38">
        <v>4.116165325769973</v>
      </c>
    </row>
    <row r="56" spans="2:5" ht="12.75">
      <c r="B56" s="39" t="s">
        <v>49</v>
      </c>
      <c r="C56" s="55">
        <v>93665.51</v>
      </c>
      <c r="D56" s="41">
        <v>-10.291671868954685</v>
      </c>
      <c r="E56" s="41">
        <v>-7.941959302803143</v>
      </c>
    </row>
    <row r="57" spans="2:5" ht="12.75">
      <c r="B57" s="56" t="s">
        <v>84</v>
      </c>
      <c r="C57" s="57">
        <v>221454.3115</v>
      </c>
      <c r="D57" s="58">
        <v>42.996407891677634</v>
      </c>
      <c r="E57" s="58">
        <v>0.7480524574282831</v>
      </c>
    </row>
    <row r="58" spans="2:5" ht="12.75">
      <c r="B58" s="36" t="s">
        <v>228</v>
      </c>
      <c r="C58" s="59">
        <v>34334.2238</v>
      </c>
      <c r="D58" s="38">
        <v>52.1384371458054</v>
      </c>
      <c r="E58" s="38">
        <v>10.93179950230034</v>
      </c>
    </row>
    <row r="59" spans="2:6" ht="12.75">
      <c r="B59" s="56" t="s">
        <v>238</v>
      </c>
      <c r="C59" s="60">
        <v>255788.5353</v>
      </c>
      <c r="D59" s="58">
        <v>44.279021438247206</v>
      </c>
      <c r="E59" s="58">
        <v>2.0050058508006434</v>
      </c>
      <c r="F59" s="77"/>
    </row>
    <row r="60" spans="2:5" ht="12.75">
      <c r="B60" s="24" t="s">
        <v>104</v>
      </c>
      <c r="C60" s="54">
        <v>-12769.4868</v>
      </c>
      <c r="D60" s="154">
        <v>124.0073938964131</v>
      </c>
      <c r="E60" s="26">
        <v>-11.60905911344374</v>
      </c>
    </row>
    <row r="61" spans="2:5" ht="12.75">
      <c r="B61" s="56" t="s">
        <v>99</v>
      </c>
      <c r="C61" s="57">
        <v>243019.0483</v>
      </c>
      <c r="D61" s="58">
        <v>42.2751810623202</v>
      </c>
      <c r="E61" s="58">
        <v>2.83727486899697</v>
      </c>
    </row>
    <row r="62" spans="2:5" ht="12.75">
      <c r="B62" s="39" t="s">
        <v>94</v>
      </c>
      <c r="C62" s="61">
        <v>42287.7744</v>
      </c>
      <c r="D62" s="164">
        <v>71.96578235513086</v>
      </c>
      <c r="E62" s="41">
        <v>6.548289718081096</v>
      </c>
    </row>
    <row r="63" spans="2:5" ht="12.75">
      <c r="B63" s="56" t="s">
        <v>85</v>
      </c>
      <c r="C63" s="62">
        <v>200731.2739</v>
      </c>
      <c r="D63" s="63">
        <v>37.341475237457836</v>
      </c>
      <c r="E63" s="58">
        <v>2.08820630654814</v>
      </c>
    </row>
    <row r="65" ht="12.75">
      <c r="B65" s="90" t="s">
        <v>27</v>
      </c>
    </row>
    <row r="66" spans="2:5" ht="12.75">
      <c r="B66" s="42" t="s">
        <v>128</v>
      </c>
      <c r="C66" s="65">
        <v>93826.0358</v>
      </c>
      <c r="D66" s="66">
        <v>24.013916953340818</v>
      </c>
      <c r="E66" s="44">
        <v>-13.319283291968986</v>
      </c>
    </row>
    <row r="68" ht="9" customHeight="1"/>
    <row r="69" ht="12.75">
      <c r="B69" s="3" t="s">
        <v>60</v>
      </c>
    </row>
    <row r="70" ht="12.75">
      <c r="B70" s="3" t="s">
        <v>146</v>
      </c>
    </row>
    <row r="71" ht="12.75">
      <c r="B71" s="3" t="s">
        <v>136</v>
      </c>
    </row>
    <row r="72" ht="12.75">
      <c r="B72" s="3" t="s">
        <v>145</v>
      </c>
    </row>
    <row r="74" ht="12.75">
      <c r="B74" s="3" t="s">
        <v>103</v>
      </c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10" t="s">
        <v>155</v>
      </c>
      <c r="P1" s="114" t="s">
        <v>162</v>
      </c>
    </row>
    <row r="2" ht="12.75">
      <c r="A2" s="110" t="s">
        <v>156</v>
      </c>
    </row>
    <row r="3" ht="12.75">
      <c r="A3" s="110"/>
    </row>
    <row r="4" spans="1:16" ht="18">
      <c r="A4" s="186" t="s">
        <v>260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>
      <c r="A5" s="187" t="s">
        <v>91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49" customFormat="1" ht="12.75">
      <c r="A7" s="69"/>
      <c r="B7" s="183" t="s">
        <v>0</v>
      </c>
      <c r="C7" s="184"/>
      <c r="D7" s="184"/>
      <c r="E7" s="184"/>
      <c r="F7" s="185"/>
      <c r="G7" s="70" t="s">
        <v>61</v>
      </c>
      <c r="H7" s="69" t="s">
        <v>62</v>
      </c>
      <c r="I7" s="184" t="s">
        <v>38</v>
      </c>
      <c r="J7" s="184"/>
      <c r="K7" s="185"/>
      <c r="L7" s="69" t="s">
        <v>120</v>
      </c>
      <c r="M7" s="69" t="s">
        <v>1</v>
      </c>
      <c r="N7" s="71"/>
      <c r="O7" s="69" t="s">
        <v>0</v>
      </c>
      <c r="P7" s="69" t="s">
        <v>0</v>
      </c>
    </row>
    <row r="8" spans="1:16" s="49" customFormat="1" ht="12.75">
      <c r="A8" s="72" t="s">
        <v>20</v>
      </c>
      <c r="B8" s="73" t="s">
        <v>96</v>
      </c>
      <c r="C8" s="72" t="s">
        <v>97</v>
      </c>
      <c r="D8" s="183" t="s">
        <v>95</v>
      </c>
      <c r="E8" s="184"/>
      <c r="F8" s="185"/>
      <c r="G8" s="67" t="s">
        <v>2</v>
      </c>
      <c r="H8" s="72" t="s">
        <v>2</v>
      </c>
      <c r="I8" s="73" t="s">
        <v>96</v>
      </c>
      <c r="J8" s="72" t="s">
        <v>138</v>
      </c>
      <c r="K8" s="72" t="s">
        <v>105</v>
      </c>
      <c r="L8" s="72" t="s">
        <v>121</v>
      </c>
      <c r="M8" s="72" t="s">
        <v>3</v>
      </c>
      <c r="N8" s="71"/>
      <c r="O8" s="72" t="s">
        <v>63</v>
      </c>
      <c r="P8" s="72" t="s">
        <v>37</v>
      </c>
    </row>
    <row r="9" spans="1:16" s="49" customFormat="1" ht="12.75">
      <c r="A9" s="74"/>
      <c r="B9" s="75"/>
      <c r="C9" s="74"/>
      <c r="D9" s="74" t="s">
        <v>96</v>
      </c>
      <c r="E9" s="74" t="s">
        <v>36</v>
      </c>
      <c r="F9" s="74" t="s">
        <v>106</v>
      </c>
      <c r="G9" s="76"/>
      <c r="H9" s="74"/>
      <c r="I9" s="75"/>
      <c r="J9" s="74" t="s">
        <v>139</v>
      </c>
      <c r="K9" s="74"/>
      <c r="L9" s="74" t="s">
        <v>122</v>
      </c>
      <c r="M9" s="74"/>
      <c r="N9" s="71"/>
      <c r="O9" s="74"/>
      <c r="P9" s="74"/>
    </row>
    <row r="10" spans="2:16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77"/>
      <c r="P10" s="77"/>
    </row>
    <row r="11" spans="1:16" s="49" customFormat="1" ht="12.75">
      <c r="A11" s="78" t="s">
        <v>16</v>
      </c>
      <c r="B11" s="79">
        <v>32374637.1696</v>
      </c>
      <c r="C11" s="79">
        <v>23168793.7112</v>
      </c>
      <c r="D11" s="79">
        <v>9205843.4576</v>
      </c>
      <c r="E11" s="79">
        <v>3641058.2504</v>
      </c>
      <c r="F11" s="79">
        <v>5564785.2072</v>
      </c>
      <c r="G11" s="79">
        <v>5858762.068</v>
      </c>
      <c r="H11" s="79">
        <v>43752169.7718</v>
      </c>
      <c r="I11" s="79">
        <v>24991597.5729</v>
      </c>
      <c r="J11" s="79">
        <v>5552680.6832</v>
      </c>
      <c r="K11" s="79">
        <v>19438916.8897</v>
      </c>
      <c r="L11" s="79">
        <v>5199304.1801</v>
      </c>
      <c r="M11" s="79">
        <v>3461496.3485</v>
      </c>
      <c r="N11" s="80"/>
      <c r="O11" s="79">
        <v>2641803.9387</v>
      </c>
      <c r="P11" s="79">
        <v>407341.5801</v>
      </c>
    </row>
    <row r="12" spans="1:16" ht="12.75">
      <c r="A12" s="81" t="s">
        <v>28</v>
      </c>
      <c r="B12" s="81">
        <v>209921.8711</v>
      </c>
      <c r="C12" s="81">
        <v>208832.1576</v>
      </c>
      <c r="D12" s="81">
        <v>1089.7132</v>
      </c>
      <c r="E12" s="81">
        <v>43.2266</v>
      </c>
      <c r="F12" s="81">
        <v>1046.4866</v>
      </c>
      <c r="G12" s="81">
        <v>158541.9262</v>
      </c>
      <c r="H12" s="81">
        <v>492659.4262</v>
      </c>
      <c r="I12" s="81">
        <v>143743.79</v>
      </c>
      <c r="J12" s="81">
        <v>18461.8513</v>
      </c>
      <c r="K12" s="81">
        <v>125281.9387</v>
      </c>
      <c r="L12" s="81">
        <v>0</v>
      </c>
      <c r="M12" s="81">
        <v>92640.271</v>
      </c>
      <c r="N12" s="77"/>
      <c r="O12" s="81">
        <v>13331.6776</v>
      </c>
      <c r="P12" s="81">
        <v>1665.8546</v>
      </c>
    </row>
    <row r="13" spans="1:16" ht="12.75">
      <c r="A13" s="82" t="s">
        <v>25</v>
      </c>
      <c r="B13" s="82">
        <v>3042155.119</v>
      </c>
      <c r="C13" s="82">
        <v>2022957.795</v>
      </c>
      <c r="D13" s="82">
        <v>1019197.3235</v>
      </c>
      <c r="E13" s="82">
        <v>254397.4422</v>
      </c>
      <c r="F13" s="82">
        <v>764799.8813</v>
      </c>
      <c r="G13" s="82">
        <v>451574.9014</v>
      </c>
      <c r="H13" s="82">
        <v>3936150.7895</v>
      </c>
      <c r="I13" s="82">
        <v>2561076.6916</v>
      </c>
      <c r="J13" s="82">
        <v>329580.9477</v>
      </c>
      <c r="K13" s="82">
        <v>2231495.7439</v>
      </c>
      <c r="L13" s="82">
        <v>285726.3648</v>
      </c>
      <c r="M13" s="82">
        <v>250406.3333</v>
      </c>
      <c r="N13" s="77"/>
      <c r="O13" s="82">
        <v>210179.1488</v>
      </c>
      <c r="P13" s="82">
        <v>49140.8191</v>
      </c>
    </row>
    <row r="14" spans="1:16" ht="12.75">
      <c r="A14" s="82" t="s">
        <v>5</v>
      </c>
      <c r="B14" s="82">
        <v>1030229.9502</v>
      </c>
      <c r="C14" s="82">
        <v>917238.808</v>
      </c>
      <c r="D14" s="82">
        <v>112991.1418</v>
      </c>
      <c r="E14" s="82">
        <v>29532.9729</v>
      </c>
      <c r="F14" s="82">
        <v>83458.1689</v>
      </c>
      <c r="G14" s="82">
        <v>374065.2509</v>
      </c>
      <c r="H14" s="82">
        <v>1529480.2087</v>
      </c>
      <c r="I14" s="82">
        <v>931145.0758</v>
      </c>
      <c r="J14" s="82">
        <v>116705.1877</v>
      </c>
      <c r="K14" s="82">
        <v>814439.8881</v>
      </c>
      <c r="L14" s="82">
        <v>130622.2129</v>
      </c>
      <c r="M14" s="82">
        <v>117547.444</v>
      </c>
      <c r="N14" s="77"/>
      <c r="O14" s="82">
        <v>152396.6646</v>
      </c>
      <c r="P14" s="82">
        <v>4282.5762</v>
      </c>
    </row>
    <row r="15" spans="1:16" ht="12.75">
      <c r="A15" s="82" t="s">
        <v>6</v>
      </c>
      <c r="B15" s="82">
        <v>2562659.8824</v>
      </c>
      <c r="C15" s="82">
        <v>2081398.1827</v>
      </c>
      <c r="D15" s="82">
        <v>481261.699</v>
      </c>
      <c r="E15" s="82">
        <v>296323.3385</v>
      </c>
      <c r="F15" s="82">
        <v>184938.3605</v>
      </c>
      <c r="G15" s="82">
        <v>476482.3038</v>
      </c>
      <c r="H15" s="82">
        <v>3218952.5615</v>
      </c>
      <c r="I15" s="82">
        <v>1932701.7381</v>
      </c>
      <c r="J15" s="82">
        <v>183094.7057</v>
      </c>
      <c r="K15" s="82">
        <v>1749607.0324</v>
      </c>
      <c r="L15" s="82">
        <v>320214.1587</v>
      </c>
      <c r="M15" s="82">
        <v>340355.0202</v>
      </c>
      <c r="N15" s="77"/>
      <c r="O15" s="82">
        <v>198362.6257</v>
      </c>
      <c r="P15" s="82">
        <v>24716.836</v>
      </c>
    </row>
    <row r="16" spans="1:16" ht="12.75">
      <c r="A16" s="82" t="s">
        <v>7</v>
      </c>
      <c r="B16" s="82">
        <v>6877178.2594</v>
      </c>
      <c r="C16" s="82">
        <v>4968281.1919</v>
      </c>
      <c r="D16" s="82">
        <v>1908897.067</v>
      </c>
      <c r="E16" s="82">
        <v>743509.5011</v>
      </c>
      <c r="F16" s="82">
        <v>1165387.5659</v>
      </c>
      <c r="G16" s="82">
        <v>1194321.6082</v>
      </c>
      <c r="H16" s="82">
        <v>8865079.423</v>
      </c>
      <c r="I16" s="82">
        <v>5259102.0921</v>
      </c>
      <c r="J16" s="82">
        <v>1518517.53</v>
      </c>
      <c r="K16" s="82">
        <v>3740584.5621</v>
      </c>
      <c r="L16" s="82">
        <v>1145120.7107</v>
      </c>
      <c r="M16" s="82">
        <v>517993.5682</v>
      </c>
      <c r="N16" s="77"/>
      <c r="O16" s="82">
        <v>550368.4407</v>
      </c>
      <c r="P16" s="82">
        <v>87295.7488</v>
      </c>
    </row>
    <row r="17" spans="1:16" ht="12.75">
      <c r="A17" s="82" t="s">
        <v>144</v>
      </c>
      <c r="B17" s="82">
        <v>4714812.8656</v>
      </c>
      <c r="C17" s="82">
        <v>3407684.2096</v>
      </c>
      <c r="D17" s="82">
        <v>1307128.6554</v>
      </c>
      <c r="E17" s="82">
        <v>558702.8382</v>
      </c>
      <c r="F17" s="82">
        <v>748425.8172</v>
      </c>
      <c r="G17" s="82">
        <v>656046.5341</v>
      </c>
      <c r="H17" s="82">
        <v>6370882.6158</v>
      </c>
      <c r="I17" s="82">
        <v>3637810.5818</v>
      </c>
      <c r="J17" s="82">
        <v>1090254.324</v>
      </c>
      <c r="K17" s="82">
        <v>2547556.2578</v>
      </c>
      <c r="L17" s="82">
        <v>606376.5148</v>
      </c>
      <c r="M17" s="82">
        <v>422302.616</v>
      </c>
      <c r="N17" s="77"/>
      <c r="O17" s="82">
        <v>408088.1892</v>
      </c>
      <c r="P17" s="82">
        <v>54876.2361</v>
      </c>
    </row>
    <row r="18" spans="1:16" ht="12.75">
      <c r="A18" s="82" t="s">
        <v>8</v>
      </c>
      <c r="B18" s="82">
        <v>1475622.8892</v>
      </c>
      <c r="C18" s="82">
        <v>1198838.5953</v>
      </c>
      <c r="D18" s="82">
        <v>276784.2934</v>
      </c>
      <c r="E18" s="82">
        <v>34734.2586</v>
      </c>
      <c r="F18" s="82">
        <v>242050.0348</v>
      </c>
      <c r="G18" s="82">
        <v>77077.81</v>
      </c>
      <c r="H18" s="82">
        <v>1710219.8021</v>
      </c>
      <c r="I18" s="82">
        <v>913169.2096</v>
      </c>
      <c r="J18" s="82">
        <v>167853.093</v>
      </c>
      <c r="K18" s="82">
        <v>745316.1166</v>
      </c>
      <c r="L18" s="82">
        <v>377908.2243</v>
      </c>
      <c r="M18" s="82">
        <v>148438.956</v>
      </c>
      <c r="N18" s="77"/>
      <c r="O18" s="82">
        <v>52122.752</v>
      </c>
      <c r="P18" s="82">
        <v>24970.361</v>
      </c>
    </row>
    <row r="19" spans="1:16" ht="12.75">
      <c r="A19" s="82" t="s">
        <v>31</v>
      </c>
      <c r="B19" s="82">
        <v>38863.2444</v>
      </c>
      <c r="C19" s="82">
        <v>38863.2444</v>
      </c>
      <c r="D19" s="82">
        <v>0</v>
      </c>
      <c r="E19" s="82">
        <v>0</v>
      </c>
      <c r="F19" s="82">
        <v>0</v>
      </c>
      <c r="G19" s="82">
        <v>224791.6112</v>
      </c>
      <c r="H19" s="82">
        <v>460570.1136</v>
      </c>
      <c r="I19" s="82">
        <v>144521.8325</v>
      </c>
      <c r="J19" s="82">
        <v>-1837.99570000003</v>
      </c>
      <c r="K19" s="82">
        <v>146359.8282</v>
      </c>
      <c r="L19" s="82">
        <v>0</v>
      </c>
      <c r="M19" s="82">
        <v>75734.2004</v>
      </c>
      <c r="N19" s="77"/>
      <c r="O19" s="82">
        <v>0</v>
      </c>
      <c r="P19" s="82">
        <v>0</v>
      </c>
    </row>
    <row r="20" spans="1:16" ht="12.75">
      <c r="A20" s="82" t="s">
        <v>11</v>
      </c>
      <c r="B20" s="82">
        <v>279663.2536</v>
      </c>
      <c r="C20" s="82">
        <v>5863.2391</v>
      </c>
      <c r="D20" s="82">
        <v>273800.0143</v>
      </c>
      <c r="E20" s="82">
        <v>220938.1607</v>
      </c>
      <c r="F20" s="82">
        <v>52861.8536</v>
      </c>
      <c r="G20" s="82">
        <v>3690.481</v>
      </c>
      <c r="H20" s="82">
        <v>314915.9215</v>
      </c>
      <c r="I20" s="82">
        <v>190811.0478</v>
      </c>
      <c r="J20" s="82">
        <v>5189.603</v>
      </c>
      <c r="K20" s="82">
        <v>185621.4448</v>
      </c>
      <c r="L20" s="82">
        <v>41035.2481</v>
      </c>
      <c r="M20" s="82">
        <v>48166.9945</v>
      </c>
      <c r="N20" s="77"/>
      <c r="O20" s="82">
        <v>0</v>
      </c>
      <c r="P20" s="82">
        <v>585.8596</v>
      </c>
    </row>
    <row r="21" spans="1:16" ht="12.75">
      <c r="A21" s="82" t="s">
        <v>24</v>
      </c>
      <c r="B21" s="82">
        <v>93974.9606</v>
      </c>
      <c r="C21" s="82">
        <v>93974.9603</v>
      </c>
      <c r="D21" s="82">
        <v>0</v>
      </c>
      <c r="E21" s="82">
        <v>0</v>
      </c>
      <c r="F21" s="82">
        <v>0</v>
      </c>
      <c r="G21" s="82">
        <v>2064.657</v>
      </c>
      <c r="H21" s="82">
        <v>113454.9991</v>
      </c>
      <c r="I21" s="82">
        <v>75907.1665</v>
      </c>
      <c r="J21" s="82">
        <v>8021.3401</v>
      </c>
      <c r="K21" s="82">
        <v>67885.8264</v>
      </c>
      <c r="L21" s="82">
        <v>0</v>
      </c>
      <c r="M21" s="82">
        <v>12656.4743</v>
      </c>
      <c r="N21" s="77"/>
      <c r="O21" s="82">
        <v>4468.795</v>
      </c>
      <c r="P21" s="82">
        <v>1553.6885</v>
      </c>
    </row>
    <row r="22" spans="1:16" ht="12.75">
      <c r="A22" s="82" t="s">
        <v>29</v>
      </c>
      <c r="B22" s="82">
        <v>130034.2257</v>
      </c>
      <c r="C22" s="82">
        <v>129967.6671</v>
      </c>
      <c r="D22" s="82">
        <v>66.5582</v>
      </c>
      <c r="E22" s="82">
        <v>66.5582</v>
      </c>
      <c r="F22" s="82">
        <v>0</v>
      </c>
      <c r="G22" s="82">
        <v>221545.0521</v>
      </c>
      <c r="H22" s="82">
        <v>470880.5145</v>
      </c>
      <c r="I22" s="82">
        <v>184662.5217</v>
      </c>
      <c r="J22" s="82">
        <v>-5329.90130000003</v>
      </c>
      <c r="K22" s="82">
        <v>189992.423</v>
      </c>
      <c r="L22" s="82">
        <v>0</v>
      </c>
      <c r="M22" s="82">
        <v>88420.1157</v>
      </c>
      <c r="N22" s="77"/>
      <c r="O22" s="82">
        <v>18188.729</v>
      </c>
      <c r="P22" s="82">
        <v>18.4616</v>
      </c>
    </row>
    <row r="23" spans="1:16" ht="12.75">
      <c r="A23" s="82" t="s">
        <v>9</v>
      </c>
      <c r="B23" s="82">
        <v>122981.6262</v>
      </c>
      <c r="C23" s="82">
        <v>121824.4405</v>
      </c>
      <c r="D23" s="82">
        <v>1157.1853</v>
      </c>
      <c r="E23" s="82">
        <v>288.6202</v>
      </c>
      <c r="F23" s="82">
        <v>868.5651</v>
      </c>
      <c r="G23" s="82">
        <v>32516.249</v>
      </c>
      <c r="H23" s="82">
        <v>185349.1132</v>
      </c>
      <c r="I23" s="82">
        <v>136800.1137</v>
      </c>
      <c r="J23" s="82">
        <v>19193.3754</v>
      </c>
      <c r="K23" s="82">
        <v>117606.7383</v>
      </c>
      <c r="L23" s="82">
        <v>4548.4782</v>
      </c>
      <c r="M23" s="82">
        <v>14862.6854</v>
      </c>
      <c r="N23" s="77"/>
      <c r="O23" s="82">
        <v>6860.7207</v>
      </c>
      <c r="P23" s="82">
        <v>2263.6166</v>
      </c>
    </row>
    <row r="24" spans="1:16" ht="12.75">
      <c r="A24" s="82" t="s">
        <v>26</v>
      </c>
      <c r="B24" s="82">
        <v>12484.1192</v>
      </c>
      <c r="C24" s="82">
        <v>12484.1191</v>
      </c>
      <c r="D24" s="82">
        <v>0</v>
      </c>
      <c r="E24" s="82">
        <v>0</v>
      </c>
      <c r="F24" s="82">
        <v>0</v>
      </c>
      <c r="G24" s="82">
        <v>10956.4026</v>
      </c>
      <c r="H24" s="82">
        <v>36537.0188</v>
      </c>
      <c r="I24" s="82">
        <v>16767.7348</v>
      </c>
      <c r="J24" s="82">
        <v>1595.33</v>
      </c>
      <c r="K24" s="82">
        <v>15172.4048</v>
      </c>
      <c r="L24" s="82">
        <v>0</v>
      </c>
      <c r="M24" s="82">
        <v>8215.4131</v>
      </c>
      <c r="N24" s="77"/>
      <c r="O24" s="82">
        <v>0</v>
      </c>
      <c r="P24" s="82">
        <v>0</v>
      </c>
    </row>
    <row r="25" spans="1:16" ht="12.75">
      <c r="A25" s="82" t="s">
        <v>107</v>
      </c>
      <c r="B25" s="82">
        <v>109743.5391</v>
      </c>
      <c r="C25" s="82">
        <v>2002.6135</v>
      </c>
      <c r="D25" s="82">
        <v>107740.9255</v>
      </c>
      <c r="E25" s="82">
        <v>107740.9255</v>
      </c>
      <c r="F25" s="82">
        <v>0</v>
      </c>
      <c r="G25" s="82">
        <v>4862.1311</v>
      </c>
      <c r="H25" s="82">
        <v>126237.5486</v>
      </c>
      <c r="I25" s="82">
        <v>103412.6057</v>
      </c>
      <c r="J25" s="82">
        <v>2319.2836</v>
      </c>
      <c r="K25" s="82">
        <v>101093.3221</v>
      </c>
      <c r="L25" s="82">
        <v>0</v>
      </c>
      <c r="M25" s="82">
        <v>13826.9162</v>
      </c>
      <c r="N25" s="77"/>
      <c r="O25" s="82">
        <v>0</v>
      </c>
      <c r="P25" s="82">
        <v>377.5058</v>
      </c>
    </row>
    <row r="26" spans="1:16" ht="12.75">
      <c r="A26" s="82" t="s">
        <v>30</v>
      </c>
      <c r="B26" s="82">
        <v>5342.7398</v>
      </c>
      <c r="C26" s="82">
        <v>5342.7398</v>
      </c>
      <c r="D26" s="82">
        <v>0</v>
      </c>
      <c r="E26" s="82">
        <v>0</v>
      </c>
      <c r="F26" s="82">
        <v>0</v>
      </c>
      <c r="G26" s="82">
        <v>20484.2354</v>
      </c>
      <c r="H26" s="82">
        <v>54352.1866</v>
      </c>
      <c r="I26" s="82">
        <v>13216.0895</v>
      </c>
      <c r="J26" s="82">
        <v>-1322.87780000002</v>
      </c>
      <c r="K26" s="82">
        <v>14538.9673</v>
      </c>
      <c r="L26" s="82">
        <v>0</v>
      </c>
      <c r="M26" s="82">
        <v>19329.2447</v>
      </c>
      <c r="N26" s="77"/>
      <c r="O26" s="82">
        <v>0</v>
      </c>
      <c r="P26" s="82">
        <v>0</v>
      </c>
    </row>
    <row r="27" spans="1:16" ht="12.75">
      <c r="A27" s="82" t="s">
        <v>22</v>
      </c>
      <c r="B27" s="82">
        <v>114338.4307</v>
      </c>
      <c r="C27" s="82">
        <v>11244.3242</v>
      </c>
      <c r="D27" s="82">
        <v>103094.1061</v>
      </c>
      <c r="E27" s="82">
        <v>89654.5867</v>
      </c>
      <c r="F27" s="82">
        <v>13439.5194</v>
      </c>
      <c r="G27" s="82">
        <v>2030.7921</v>
      </c>
      <c r="H27" s="82">
        <v>135883.2621</v>
      </c>
      <c r="I27" s="82">
        <v>101393.7862</v>
      </c>
      <c r="J27" s="82">
        <v>1877.5513</v>
      </c>
      <c r="K27" s="82">
        <v>99516.2349</v>
      </c>
      <c r="L27" s="82">
        <v>14131.2086</v>
      </c>
      <c r="M27" s="82">
        <v>14204.0026</v>
      </c>
      <c r="N27" s="77"/>
      <c r="O27" s="82">
        <v>0</v>
      </c>
      <c r="P27" s="82">
        <v>122.3598</v>
      </c>
    </row>
    <row r="28" spans="1:16" ht="12.75">
      <c r="A28" s="82" t="s">
        <v>10</v>
      </c>
      <c r="B28" s="82">
        <v>9091684.5408</v>
      </c>
      <c r="C28" s="82">
        <v>6023746.2426</v>
      </c>
      <c r="D28" s="82">
        <v>3067938.2976</v>
      </c>
      <c r="E28" s="82">
        <v>1166458.8099</v>
      </c>
      <c r="F28" s="82">
        <v>1901479.4877</v>
      </c>
      <c r="G28" s="82">
        <v>1453195.9442</v>
      </c>
      <c r="H28" s="82">
        <v>12393243.4973</v>
      </c>
      <c r="I28" s="82">
        <v>6603401.1586</v>
      </c>
      <c r="J28" s="82">
        <v>1806492.301</v>
      </c>
      <c r="K28" s="82">
        <v>4796908.8576</v>
      </c>
      <c r="L28" s="82">
        <v>1913889.7651</v>
      </c>
      <c r="M28" s="82">
        <v>1020814.8014</v>
      </c>
      <c r="N28" s="77"/>
      <c r="O28" s="82">
        <v>869201.3312</v>
      </c>
      <c r="P28" s="82">
        <v>125247.8595</v>
      </c>
    </row>
    <row r="29" spans="1:16" ht="12.75">
      <c r="A29" s="82" t="s">
        <v>32</v>
      </c>
      <c r="B29" s="82">
        <v>1237525.8034</v>
      </c>
      <c r="C29" s="82">
        <v>1119442.8219</v>
      </c>
      <c r="D29" s="82">
        <v>118082.981</v>
      </c>
      <c r="E29" s="82">
        <v>21888.6805</v>
      </c>
      <c r="F29" s="82">
        <v>96194.3005</v>
      </c>
      <c r="G29" s="82">
        <v>241674.161</v>
      </c>
      <c r="H29" s="82">
        <v>1686357.5658</v>
      </c>
      <c r="I29" s="82">
        <v>1038262.3583</v>
      </c>
      <c r="J29" s="82">
        <v>101640.0885</v>
      </c>
      <c r="K29" s="82">
        <v>936622.2698</v>
      </c>
      <c r="L29" s="82">
        <v>144123.3816</v>
      </c>
      <c r="M29" s="82">
        <v>125089.1017</v>
      </c>
      <c r="N29" s="77"/>
      <c r="O29" s="82">
        <v>67356.2875</v>
      </c>
      <c r="P29" s="82">
        <v>8111.6168</v>
      </c>
    </row>
    <row r="30" spans="1:16" ht="12.75">
      <c r="A30" s="83" t="s">
        <v>21</v>
      </c>
      <c r="B30" s="83">
        <v>1225419.8485</v>
      </c>
      <c r="C30" s="83">
        <v>798806.3547</v>
      </c>
      <c r="D30" s="83">
        <v>426613.4934</v>
      </c>
      <c r="E30" s="83">
        <v>116778.3287</v>
      </c>
      <c r="F30" s="83">
        <v>309835.1647</v>
      </c>
      <c r="G30" s="83">
        <v>252840.0158</v>
      </c>
      <c r="H30" s="83">
        <v>1650963.2031</v>
      </c>
      <c r="I30" s="83">
        <v>1003691.9772</v>
      </c>
      <c r="J30" s="83">
        <v>190374.9451</v>
      </c>
      <c r="K30" s="83">
        <v>813317.0321</v>
      </c>
      <c r="L30" s="83">
        <v>215607.9113</v>
      </c>
      <c r="M30" s="83">
        <v>130492.1889</v>
      </c>
      <c r="N30" s="77"/>
      <c r="O30" s="83">
        <v>90878.576</v>
      </c>
      <c r="P30" s="83">
        <v>22112.1794</v>
      </c>
    </row>
    <row r="31" ht="12.75">
      <c r="N31" s="77"/>
    </row>
    <row r="32" spans="1:16" ht="12.75">
      <c r="A32" s="79" t="s">
        <v>143</v>
      </c>
      <c r="B32" s="79">
        <v>5212533.9906</v>
      </c>
      <c r="C32" s="79">
        <v>2597655.4742</v>
      </c>
      <c r="D32" s="79">
        <v>2614878.5161</v>
      </c>
      <c r="E32" s="79">
        <v>559829.3297</v>
      </c>
      <c r="F32" s="79">
        <v>2055049.1864</v>
      </c>
      <c r="G32" s="79">
        <v>2292612.1053</v>
      </c>
      <c r="H32" s="79">
        <v>8617849.1307</v>
      </c>
      <c r="I32" s="79">
        <v>4663735.1256</v>
      </c>
      <c r="J32" s="79">
        <v>1257164.4846</v>
      </c>
      <c r="K32" s="79">
        <v>3406570.641</v>
      </c>
      <c r="L32" s="79">
        <v>2139936.9359</v>
      </c>
      <c r="M32" s="79">
        <v>406362.1196</v>
      </c>
      <c r="N32" s="84"/>
      <c r="O32" s="79">
        <v>159775.1436</v>
      </c>
      <c r="P32" s="79">
        <v>45697.6931</v>
      </c>
    </row>
    <row r="33" ht="12.75">
      <c r="N33" s="77"/>
    </row>
    <row r="34" spans="1:16" s="49" customFormat="1" ht="12.75">
      <c r="A34" s="79" t="s">
        <v>23</v>
      </c>
      <c r="B34" s="79">
        <v>1776450.7206</v>
      </c>
      <c r="C34" s="79">
        <v>1105584.3964</v>
      </c>
      <c r="D34" s="79">
        <v>670866.3238</v>
      </c>
      <c r="E34" s="79">
        <v>422627.0869</v>
      </c>
      <c r="F34" s="79">
        <v>248239.2369</v>
      </c>
      <c r="G34" s="79">
        <v>884252.8506</v>
      </c>
      <c r="H34" s="79">
        <v>3599951.214</v>
      </c>
      <c r="I34" s="79">
        <v>1898680.4112</v>
      </c>
      <c r="J34" s="79">
        <v>537838.8002</v>
      </c>
      <c r="K34" s="79">
        <v>1360841.611</v>
      </c>
      <c r="L34" s="79">
        <v>248556.0791</v>
      </c>
      <c r="M34" s="79">
        <v>513881.0654</v>
      </c>
      <c r="N34" s="85"/>
      <c r="O34" s="79">
        <v>67149.1131</v>
      </c>
      <c r="P34" s="79">
        <v>19326.2051</v>
      </c>
    </row>
    <row r="35" spans="1:16" ht="12.75">
      <c r="A35" s="82" t="s">
        <v>34</v>
      </c>
      <c r="B35" s="82">
        <v>850963.3832</v>
      </c>
      <c r="C35" s="82">
        <v>491817.1542</v>
      </c>
      <c r="D35" s="82">
        <v>359146.2286</v>
      </c>
      <c r="E35" s="82">
        <v>164362.9002</v>
      </c>
      <c r="F35" s="82">
        <v>194783.3284</v>
      </c>
      <c r="G35" s="82">
        <v>60761.5724</v>
      </c>
      <c r="H35" s="82">
        <v>1320702.9199</v>
      </c>
      <c r="I35" s="82">
        <v>865237.5212</v>
      </c>
      <c r="J35" s="82">
        <v>164085.6428</v>
      </c>
      <c r="K35" s="82">
        <v>701151.8784</v>
      </c>
      <c r="L35" s="82">
        <v>172579.977</v>
      </c>
      <c r="M35" s="82">
        <v>104839.1878</v>
      </c>
      <c r="N35" s="77"/>
      <c r="O35" s="82">
        <v>32281.4036</v>
      </c>
      <c r="P35" s="82">
        <v>10744.613</v>
      </c>
    </row>
    <row r="36" spans="1:16" ht="12.75">
      <c r="A36" s="82" t="s">
        <v>12</v>
      </c>
      <c r="B36" s="82">
        <v>858475.5971</v>
      </c>
      <c r="C36" s="82">
        <v>546817.4084</v>
      </c>
      <c r="D36" s="82">
        <v>311658.1883</v>
      </c>
      <c r="E36" s="82">
        <v>258202.2799</v>
      </c>
      <c r="F36" s="82">
        <v>53455.9084</v>
      </c>
      <c r="G36" s="82">
        <v>516830.9488</v>
      </c>
      <c r="H36" s="82">
        <v>1759978.961</v>
      </c>
      <c r="I36" s="82">
        <v>940754.2462</v>
      </c>
      <c r="J36" s="82">
        <v>348229.8951</v>
      </c>
      <c r="K36" s="82">
        <v>592524.3511</v>
      </c>
      <c r="L36" s="82">
        <v>75976.102</v>
      </c>
      <c r="M36" s="82">
        <v>239636.916</v>
      </c>
      <c r="N36" s="77"/>
      <c r="O36" s="82">
        <v>31282.2049</v>
      </c>
      <c r="P36" s="82">
        <v>8485.9802</v>
      </c>
    </row>
    <row r="37" spans="1:16" ht="12.75">
      <c r="A37" s="82" t="s">
        <v>14</v>
      </c>
      <c r="B37" s="82">
        <v>14833.1789</v>
      </c>
      <c r="C37" s="82">
        <v>14789.0372</v>
      </c>
      <c r="D37" s="82">
        <v>44.1415</v>
      </c>
      <c r="E37" s="82">
        <v>44.1415</v>
      </c>
      <c r="F37" s="82">
        <v>0</v>
      </c>
      <c r="G37" s="82">
        <v>0</v>
      </c>
      <c r="H37" s="82">
        <v>16428.6787</v>
      </c>
      <c r="I37" s="82">
        <v>2111.8092</v>
      </c>
      <c r="J37" s="82">
        <v>1112.3017</v>
      </c>
      <c r="K37" s="82">
        <v>999.5075</v>
      </c>
      <c r="L37" s="82">
        <v>0</v>
      </c>
      <c r="M37" s="82">
        <v>12330.24</v>
      </c>
      <c r="N37" s="77"/>
      <c r="O37" s="82">
        <v>1389.8353</v>
      </c>
      <c r="P37" s="82">
        <v>95.6118</v>
      </c>
    </row>
    <row r="38" spans="1:16" ht="12.75">
      <c r="A38" s="82" t="s">
        <v>13</v>
      </c>
      <c r="B38" s="82">
        <v>28076.4745</v>
      </c>
      <c r="C38" s="82">
        <v>28058.7093</v>
      </c>
      <c r="D38" s="82">
        <v>17.7651</v>
      </c>
      <c r="E38" s="82">
        <v>17.7651</v>
      </c>
      <c r="F38" s="82">
        <v>0</v>
      </c>
      <c r="G38" s="82">
        <v>0.8006</v>
      </c>
      <c r="H38" s="82">
        <v>31384.4003</v>
      </c>
      <c r="I38" s="82">
        <v>3928.0592</v>
      </c>
      <c r="J38" s="82">
        <v>1644.2018</v>
      </c>
      <c r="K38" s="82">
        <v>2283.8574</v>
      </c>
      <c r="L38" s="82">
        <v>0</v>
      </c>
      <c r="M38" s="82">
        <v>19534.3639</v>
      </c>
      <c r="N38" s="77"/>
      <c r="O38" s="82">
        <v>1233.5207</v>
      </c>
      <c r="P38" s="82">
        <v>0</v>
      </c>
    </row>
    <row r="39" spans="1:16" ht="12.75">
      <c r="A39" s="82" t="s">
        <v>35</v>
      </c>
      <c r="B39" s="82">
        <v>23682.4766</v>
      </c>
      <c r="C39" s="82">
        <v>23682.4765</v>
      </c>
      <c r="D39" s="82">
        <v>0</v>
      </c>
      <c r="E39" s="82">
        <v>0</v>
      </c>
      <c r="F39" s="82">
        <v>0</v>
      </c>
      <c r="G39" s="82">
        <v>12614.6903</v>
      </c>
      <c r="H39" s="82">
        <v>51260.919</v>
      </c>
      <c r="I39" s="82">
        <v>26564.228</v>
      </c>
      <c r="J39" s="82">
        <v>14987.7777</v>
      </c>
      <c r="K39" s="82">
        <v>11576.4503</v>
      </c>
      <c r="L39" s="82">
        <v>0</v>
      </c>
      <c r="M39" s="82">
        <v>13480.7526</v>
      </c>
      <c r="N39" s="77"/>
      <c r="O39" s="82">
        <v>962.1483</v>
      </c>
      <c r="P39" s="82">
        <v>0</v>
      </c>
    </row>
    <row r="40" spans="1:16" ht="12.75">
      <c r="A40" s="83" t="s">
        <v>33</v>
      </c>
      <c r="B40" s="83">
        <v>419.61</v>
      </c>
      <c r="C40" s="83">
        <v>419.61</v>
      </c>
      <c r="D40" s="83">
        <v>0</v>
      </c>
      <c r="E40" s="83">
        <v>0</v>
      </c>
      <c r="F40" s="83">
        <v>0</v>
      </c>
      <c r="G40" s="83">
        <v>294044.8383</v>
      </c>
      <c r="H40" s="83">
        <v>420195.3349</v>
      </c>
      <c r="I40" s="83">
        <v>60084.5468</v>
      </c>
      <c r="J40" s="83">
        <v>7778.9808</v>
      </c>
      <c r="K40" s="83">
        <v>52305.566</v>
      </c>
      <c r="L40" s="83">
        <v>0</v>
      </c>
      <c r="M40" s="83">
        <v>124059.6049</v>
      </c>
      <c r="N40" s="77"/>
      <c r="O40" s="83">
        <v>0</v>
      </c>
      <c r="P40" s="83">
        <v>0</v>
      </c>
    </row>
    <row r="41" spans="10:16" ht="12.75">
      <c r="J41" s="77"/>
      <c r="K41" s="77"/>
      <c r="L41" s="77"/>
      <c r="M41" s="77"/>
      <c r="N41" s="77"/>
      <c r="O41" s="77"/>
      <c r="P41" s="77"/>
    </row>
    <row r="42" spans="1:16" s="49" customFormat="1" ht="12.75">
      <c r="A42" s="78" t="s">
        <v>15</v>
      </c>
      <c r="B42" s="79">
        <v>39363621.8809</v>
      </c>
      <c r="C42" s="79">
        <v>26872033.5825</v>
      </c>
      <c r="D42" s="79">
        <v>12491588.2978</v>
      </c>
      <c r="E42" s="79">
        <v>4623514.6671</v>
      </c>
      <c r="F42" s="79">
        <v>7868073.6307</v>
      </c>
      <c r="G42" s="79">
        <v>9035627.024</v>
      </c>
      <c r="H42" s="79">
        <v>55969970.1166</v>
      </c>
      <c r="I42" s="79">
        <v>31554013.1099</v>
      </c>
      <c r="J42" s="79">
        <v>7347683.9681</v>
      </c>
      <c r="K42" s="79">
        <v>24206329.1418</v>
      </c>
      <c r="L42" s="79">
        <v>7587797.1953</v>
      </c>
      <c r="M42" s="79">
        <v>4381739.5336</v>
      </c>
      <c r="N42" s="48"/>
      <c r="O42" s="79">
        <v>2868728.1955</v>
      </c>
      <c r="P42" s="79">
        <v>472365.4783</v>
      </c>
    </row>
    <row r="43" spans="1:16" s="49" customFormat="1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8"/>
      <c r="O43" s="87"/>
      <c r="P43" s="87"/>
    </row>
    <row r="44" spans="1:16" s="49" customFormat="1" ht="12.75">
      <c r="A44" s="86" t="s">
        <v>27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48"/>
      <c r="O44" s="87"/>
      <c r="P44" s="87"/>
    </row>
    <row r="45" spans="1:16" s="49" customFormat="1" ht="12.75">
      <c r="A45" s="88" t="s">
        <v>142</v>
      </c>
      <c r="B45" s="88">
        <v>172939.6892</v>
      </c>
      <c r="C45" s="88">
        <v>6160.5491</v>
      </c>
      <c r="D45" s="88">
        <v>166779.14</v>
      </c>
      <c r="E45" s="88">
        <v>166779.14</v>
      </c>
      <c r="F45" s="88">
        <v>0</v>
      </c>
      <c r="G45" s="88">
        <v>22.9341</v>
      </c>
      <c r="H45" s="88">
        <v>207327.8339</v>
      </c>
      <c r="I45" s="88">
        <v>155345.4864</v>
      </c>
      <c r="J45" s="88">
        <v>3847.399</v>
      </c>
      <c r="K45" s="88">
        <v>151498.0874</v>
      </c>
      <c r="L45" s="88">
        <v>0</v>
      </c>
      <c r="M45" s="88">
        <v>32485.9628</v>
      </c>
      <c r="N45" s="48"/>
      <c r="O45" s="88">
        <v>0</v>
      </c>
      <c r="P45" s="88">
        <v>872.538</v>
      </c>
    </row>
    <row r="46" spans="1:16" ht="12.75">
      <c r="A46" s="88" t="s">
        <v>141</v>
      </c>
      <c r="B46" s="88">
        <v>4541873.1763</v>
      </c>
      <c r="C46" s="88">
        <v>3401523.6604</v>
      </c>
      <c r="D46" s="88">
        <v>1140349.5154</v>
      </c>
      <c r="E46" s="88">
        <v>391923.6982</v>
      </c>
      <c r="F46" s="88">
        <v>748425.8172</v>
      </c>
      <c r="G46" s="88">
        <v>656023.6</v>
      </c>
      <c r="H46" s="88">
        <v>6219234.6118</v>
      </c>
      <c r="I46" s="88">
        <v>3495001.1951</v>
      </c>
      <c r="J46" s="88">
        <v>1098943.0247</v>
      </c>
      <c r="K46" s="88">
        <v>2396058.1704</v>
      </c>
      <c r="L46" s="88">
        <v>606376.5148</v>
      </c>
      <c r="M46" s="88">
        <v>422302.616</v>
      </c>
      <c r="O46" s="88">
        <v>408088.1892</v>
      </c>
      <c r="P46" s="88">
        <v>54003.698</v>
      </c>
    </row>
    <row r="47" ht="12.75">
      <c r="A47" s="45"/>
    </row>
    <row r="48" spans="1:13" ht="12.75">
      <c r="A48" s="3" t="s">
        <v>60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4" ht="12.75">
      <c r="A49" s="3" t="s">
        <v>140</v>
      </c>
      <c r="N49" s="49"/>
    </row>
    <row r="50" spans="1:14" ht="12.75">
      <c r="A50" s="3" t="s">
        <v>245</v>
      </c>
      <c r="N50" s="49"/>
    </row>
    <row r="51" ht="12.75">
      <c r="N51" s="49"/>
    </row>
    <row r="52" spans="1:14" ht="12.75">
      <c r="A52" s="3" t="s">
        <v>103</v>
      </c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7" ht="12.75">
      <c r="N57" s="49"/>
    </row>
    <row r="58" ht="12.75">
      <c r="N58" s="49"/>
    </row>
    <row r="59" ht="12.75">
      <c r="N59" s="49"/>
    </row>
    <row r="60" ht="12.75">
      <c r="N60" s="49"/>
    </row>
    <row r="61" ht="12.75">
      <c r="N61" s="49"/>
    </row>
    <row r="62" ht="12.75">
      <c r="N62" s="49"/>
    </row>
    <row r="64" spans="1:13" ht="12.75">
      <c r="A64" s="47"/>
      <c r="B64" s="49"/>
      <c r="C64" s="49"/>
      <c r="D64" s="49"/>
      <c r="E64" s="49"/>
      <c r="F64" s="49"/>
      <c r="G64" s="49"/>
      <c r="H64" s="49"/>
      <c r="I64" s="49"/>
      <c r="J64" s="48"/>
      <c r="K64" s="49"/>
      <c r="L64" s="49"/>
      <c r="M64" s="49"/>
    </row>
    <row r="65" spans="1:13" ht="12.75">
      <c r="A65" s="49" t="s">
        <v>17</v>
      </c>
      <c r="B65" s="49"/>
      <c r="C65" s="49"/>
      <c r="D65" s="49"/>
      <c r="E65" s="49"/>
      <c r="F65" s="49"/>
      <c r="G65" s="49"/>
      <c r="H65" s="49"/>
      <c r="I65" s="49"/>
      <c r="J65" s="48"/>
      <c r="K65" s="49"/>
      <c r="L65" s="49"/>
      <c r="M65" s="49"/>
    </row>
    <row r="66" spans="1:13" ht="12.75">
      <c r="A66" s="49" t="s">
        <v>18</v>
      </c>
      <c r="B66" s="49"/>
      <c r="C66" s="49"/>
      <c r="D66" s="49"/>
      <c r="E66" s="49"/>
      <c r="F66" s="49"/>
      <c r="G66" s="49"/>
      <c r="H66" s="49"/>
      <c r="I66" s="49"/>
      <c r="J66" s="48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8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7" t="s">
        <v>19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 t="s">
        <v>18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M76" s="49"/>
    </row>
    <row r="77" spans="1:13" ht="12.75">
      <c r="A77" s="49"/>
      <c r="M77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10" t="s">
        <v>155</v>
      </c>
      <c r="Q1" s="114" t="s">
        <v>162</v>
      </c>
    </row>
    <row r="2" ht="12.75">
      <c r="A2" s="110" t="s">
        <v>156</v>
      </c>
    </row>
    <row r="3" spans="1:17" ht="18">
      <c r="A3" s="186" t="s">
        <v>261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6" ht="12.75">
      <c r="A4" s="187" t="s">
        <v>91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2.75">
      <c r="A6" s="69"/>
      <c r="B6" s="69" t="s">
        <v>59</v>
      </c>
      <c r="C6" s="69" t="s">
        <v>39</v>
      </c>
      <c r="D6" s="69" t="s">
        <v>42</v>
      </c>
      <c r="E6" s="89" t="s">
        <v>43</v>
      </c>
      <c r="F6" s="118" t="s">
        <v>44</v>
      </c>
      <c r="G6" s="69" t="s">
        <v>47</v>
      </c>
      <c r="H6" s="69" t="s">
        <v>50</v>
      </c>
      <c r="I6" s="118" t="s">
        <v>44</v>
      </c>
      <c r="J6" s="69" t="s">
        <v>239</v>
      </c>
      <c r="K6" s="118" t="s">
        <v>240</v>
      </c>
      <c r="L6" s="69" t="s">
        <v>43</v>
      </c>
      <c r="M6" s="118" t="s">
        <v>44</v>
      </c>
      <c r="N6" s="69"/>
      <c r="O6" s="118" t="s">
        <v>44</v>
      </c>
      <c r="P6" s="90"/>
      <c r="Q6" s="69" t="s">
        <v>129</v>
      </c>
    </row>
    <row r="7" spans="1:17" ht="12.75">
      <c r="A7" s="72" t="s">
        <v>20</v>
      </c>
      <c r="B7" s="72" t="s">
        <v>57</v>
      </c>
      <c r="C7" s="72" t="s">
        <v>40</v>
      </c>
      <c r="D7" s="72" t="s">
        <v>241</v>
      </c>
      <c r="E7" s="67" t="s">
        <v>246</v>
      </c>
      <c r="F7" s="155" t="s">
        <v>45</v>
      </c>
      <c r="G7" s="72" t="s">
        <v>48</v>
      </c>
      <c r="H7" s="72" t="s">
        <v>51</v>
      </c>
      <c r="I7" s="155" t="s">
        <v>45</v>
      </c>
      <c r="J7" s="72" t="s">
        <v>98</v>
      </c>
      <c r="K7" s="155" t="s">
        <v>242</v>
      </c>
      <c r="L7" s="72" t="s">
        <v>54</v>
      </c>
      <c r="M7" s="155" t="s">
        <v>55</v>
      </c>
      <c r="N7" s="72" t="s">
        <v>94</v>
      </c>
      <c r="O7" s="155" t="s">
        <v>4</v>
      </c>
      <c r="P7" s="90"/>
      <c r="Q7" s="72" t="s">
        <v>130</v>
      </c>
    </row>
    <row r="8" spans="1:17" ht="12.75">
      <c r="A8" s="74"/>
      <c r="B8" s="74" t="s">
        <v>58</v>
      </c>
      <c r="C8" s="74"/>
      <c r="D8" s="74" t="s">
        <v>41</v>
      </c>
      <c r="E8" s="75" t="s">
        <v>247</v>
      </c>
      <c r="F8" s="156" t="s">
        <v>46</v>
      </c>
      <c r="G8" s="74" t="s">
        <v>45</v>
      </c>
      <c r="H8" s="74"/>
      <c r="I8" s="156" t="s">
        <v>52</v>
      </c>
      <c r="J8" s="74" t="s">
        <v>243</v>
      </c>
      <c r="K8" s="156" t="s">
        <v>244</v>
      </c>
      <c r="L8" s="74" t="s">
        <v>53</v>
      </c>
      <c r="M8" s="156" t="s">
        <v>56</v>
      </c>
      <c r="N8" s="74"/>
      <c r="O8" s="156"/>
      <c r="P8" s="90"/>
      <c r="Q8" s="74" t="s">
        <v>131</v>
      </c>
    </row>
    <row r="9" spans="3:15" ht="12.75">
      <c r="C9" s="77"/>
      <c r="D9" s="77"/>
      <c r="E9" s="77"/>
      <c r="F9" s="91"/>
      <c r="G9" s="77"/>
      <c r="H9" s="77"/>
      <c r="I9" s="91"/>
      <c r="J9" s="77"/>
      <c r="K9" s="91"/>
      <c r="L9" s="77"/>
      <c r="M9" s="91"/>
      <c r="N9" s="91"/>
      <c r="O9" s="64"/>
    </row>
    <row r="10" spans="1:17" ht="12.75">
      <c r="A10" s="78" t="s">
        <v>16</v>
      </c>
      <c r="B10" s="79">
        <v>335403.4651</v>
      </c>
      <c r="C10" s="79">
        <v>91171.5468</v>
      </c>
      <c r="D10" s="79">
        <v>25945.4016</v>
      </c>
      <c r="E10" s="79">
        <v>27500.4951</v>
      </c>
      <c r="F10" s="96">
        <v>480020.9086</v>
      </c>
      <c r="G10" s="79">
        <v>237323.3127</v>
      </c>
      <c r="H10" s="79">
        <v>75851.399</v>
      </c>
      <c r="I10" s="96">
        <v>166846.1969</v>
      </c>
      <c r="J10" s="79">
        <v>29705.3331</v>
      </c>
      <c r="K10" s="96">
        <v>196551.5301</v>
      </c>
      <c r="L10" s="79">
        <v>-13389.1947</v>
      </c>
      <c r="M10" s="96">
        <v>183162.3353</v>
      </c>
      <c r="N10" s="79">
        <v>24355.1077</v>
      </c>
      <c r="O10" s="96">
        <v>158807.2276</v>
      </c>
      <c r="P10" s="90"/>
      <c r="Q10" s="79">
        <v>76566.9048</v>
      </c>
    </row>
    <row r="11" spans="1:17" ht="12.75">
      <c r="A11" s="81" t="s">
        <v>28</v>
      </c>
      <c r="B11" s="81">
        <v>1304.49019999996</v>
      </c>
      <c r="C11" s="81">
        <v>1056.5256</v>
      </c>
      <c r="D11" s="81">
        <v>10.0782</v>
      </c>
      <c r="E11" s="81">
        <v>283.712199999969</v>
      </c>
      <c r="F11" s="92">
        <v>2654.80619999994</v>
      </c>
      <c r="G11" s="81">
        <v>2488.0557</v>
      </c>
      <c r="H11" s="81">
        <v>-257.390300000028</v>
      </c>
      <c r="I11" s="92">
        <v>424.140799999965</v>
      </c>
      <c r="J11" s="81">
        <v>18.1405</v>
      </c>
      <c r="K11" s="92">
        <v>442.28139999999</v>
      </c>
      <c r="L11" s="81">
        <v>100.8442</v>
      </c>
      <c r="M11" s="92">
        <v>543.1256</v>
      </c>
      <c r="N11" s="81">
        <v>-22.7533000000403</v>
      </c>
      <c r="O11" s="92">
        <v>565.879</v>
      </c>
      <c r="Q11" s="81">
        <v>273.0734</v>
      </c>
    </row>
    <row r="12" spans="1:17" ht="12.75">
      <c r="A12" s="82" t="s">
        <v>25</v>
      </c>
      <c r="B12" s="82">
        <v>21768.335</v>
      </c>
      <c r="C12" s="82">
        <v>7373.2597</v>
      </c>
      <c r="D12" s="82">
        <v>2577.1045</v>
      </c>
      <c r="E12" s="82">
        <v>784.2891</v>
      </c>
      <c r="F12" s="93">
        <v>32502.9883999999</v>
      </c>
      <c r="G12" s="82">
        <v>19468.7187</v>
      </c>
      <c r="H12" s="82">
        <v>6388.2067</v>
      </c>
      <c r="I12" s="93">
        <v>6646.06299999994</v>
      </c>
      <c r="J12" s="82">
        <v>1287.3052</v>
      </c>
      <c r="K12" s="93">
        <v>7933.36820000001</v>
      </c>
      <c r="L12" s="82">
        <v>1343.0621</v>
      </c>
      <c r="M12" s="93">
        <v>9276.4303</v>
      </c>
      <c r="N12" s="82">
        <v>1006.7458</v>
      </c>
      <c r="O12" s="93">
        <v>8269.6844</v>
      </c>
      <c r="Q12" s="82">
        <v>7616.6802</v>
      </c>
    </row>
    <row r="13" spans="1:17" ht="12.75">
      <c r="A13" s="82" t="s">
        <v>5</v>
      </c>
      <c r="B13" s="82">
        <v>3463.79609999997</v>
      </c>
      <c r="C13" s="82">
        <v>1747.033</v>
      </c>
      <c r="D13" s="82">
        <v>69.7373</v>
      </c>
      <c r="E13" s="82">
        <v>1589.3258</v>
      </c>
      <c r="F13" s="93">
        <v>6869.89229999995</v>
      </c>
      <c r="G13" s="82">
        <v>6031.7267</v>
      </c>
      <c r="H13" s="82">
        <v>335.7619</v>
      </c>
      <c r="I13" s="93">
        <v>502.403699999953</v>
      </c>
      <c r="J13" s="82">
        <v>1783.1824</v>
      </c>
      <c r="K13" s="93">
        <v>2285.5862</v>
      </c>
      <c r="L13" s="82">
        <v>21.7822</v>
      </c>
      <c r="M13" s="93">
        <v>2307.3684</v>
      </c>
      <c r="N13" s="82">
        <v>42.0193</v>
      </c>
      <c r="O13" s="93">
        <v>2265.3491</v>
      </c>
      <c r="Q13" s="82">
        <v>511.698</v>
      </c>
    </row>
    <row r="14" spans="1:17" ht="12.75">
      <c r="A14" s="82" t="s">
        <v>6</v>
      </c>
      <c r="B14" s="82">
        <v>19146.2255</v>
      </c>
      <c r="C14" s="82">
        <v>3825.7712</v>
      </c>
      <c r="D14" s="82">
        <v>1897.6301</v>
      </c>
      <c r="E14" s="82">
        <v>3646.4871</v>
      </c>
      <c r="F14" s="93">
        <v>28516.1138999999</v>
      </c>
      <c r="G14" s="82">
        <v>12177.3697</v>
      </c>
      <c r="H14" s="82">
        <v>5559.9705</v>
      </c>
      <c r="I14" s="93">
        <v>10778.7736999999</v>
      </c>
      <c r="J14" s="82">
        <v>2715.1862</v>
      </c>
      <c r="K14" s="93">
        <v>13493.96</v>
      </c>
      <c r="L14" s="82">
        <v>-560.936500000011</v>
      </c>
      <c r="M14" s="93">
        <v>12933.0234</v>
      </c>
      <c r="N14" s="82">
        <v>2197.1074</v>
      </c>
      <c r="O14" s="93">
        <v>10735.9159</v>
      </c>
      <c r="Q14" s="82">
        <v>3767.1578</v>
      </c>
    </row>
    <row r="15" spans="1:17" ht="12.75">
      <c r="A15" s="82" t="s">
        <v>7</v>
      </c>
      <c r="B15" s="82">
        <v>67644.5585</v>
      </c>
      <c r="C15" s="82">
        <v>23177.0345</v>
      </c>
      <c r="D15" s="82">
        <v>7941.9184</v>
      </c>
      <c r="E15" s="82">
        <v>2929.9261</v>
      </c>
      <c r="F15" s="93">
        <v>101693.4375</v>
      </c>
      <c r="G15" s="82">
        <v>50136.9549</v>
      </c>
      <c r="H15" s="82">
        <v>13256.2583</v>
      </c>
      <c r="I15" s="93">
        <v>38300.2242999999</v>
      </c>
      <c r="J15" s="82">
        <v>7292.1805</v>
      </c>
      <c r="K15" s="93">
        <v>45592.4051</v>
      </c>
      <c r="L15" s="82">
        <v>-1627.16320000002</v>
      </c>
      <c r="M15" s="93">
        <v>43965.2417</v>
      </c>
      <c r="N15" s="82">
        <v>3125.8207</v>
      </c>
      <c r="O15" s="93">
        <v>40839.4209</v>
      </c>
      <c r="Q15" s="82">
        <v>18389.4968</v>
      </c>
    </row>
    <row r="16" spans="1:17" ht="12.75">
      <c r="A16" s="82" t="s">
        <v>144</v>
      </c>
      <c r="B16" s="82">
        <v>52492.6818</v>
      </c>
      <c r="C16" s="82">
        <v>13743.3291</v>
      </c>
      <c r="D16" s="82">
        <v>3135.369</v>
      </c>
      <c r="E16" s="82">
        <v>208.889699999955</v>
      </c>
      <c r="F16" s="93">
        <v>69580.2695999999</v>
      </c>
      <c r="G16" s="82">
        <v>39253.3083</v>
      </c>
      <c r="H16" s="82">
        <v>9443.4108</v>
      </c>
      <c r="I16" s="93">
        <v>20883.5505</v>
      </c>
      <c r="J16" s="82">
        <v>4048.33899999998</v>
      </c>
      <c r="K16" s="93">
        <v>24931.8896</v>
      </c>
      <c r="L16" s="82">
        <v>-1733.9779</v>
      </c>
      <c r="M16" s="93">
        <v>23197.9115</v>
      </c>
      <c r="N16" s="82">
        <v>3769.1878</v>
      </c>
      <c r="O16" s="93">
        <v>19428.7237</v>
      </c>
      <c r="Q16" s="82">
        <v>8399.5495</v>
      </c>
    </row>
    <row r="17" spans="1:17" ht="12.75">
      <c r="A17" s="82" t="s">
        <v>8</v>
      </c>
      <c r="B17" s="82">
        <v>16003.4635</v>
      </c>
      <c r="C17" s="82">
        <v>4575.8253</v>
      </c>
      <c r="D17" s="82">
        <v>1179.8242</v>
      </c>
      <c r="E17" s="82">
        <v>867.6411</v>
      </c>
      <c r="F17" s="93">
        <v>22626.754</v>
      </c>
      <c r="G17" s="82">
        <v>10881.9058</v>
      </c>
      <c r="H17" s="82">
        <v>6119.2265</v>
      </c>
      <c r="I17" s="93">
        <v>5625.6217</v>
      </c>
      <c r="J17" s="82">
        <v>185.1412</v>
      </c>
      <c r="K17" s="93">
        <v>5810.76300000001</v>
      </c>
      <c r="L17" s="82">
        <v>-647.313200000033</v>
      </c>
      <c r="M17" s="93">
        <v>5163.4498</v>
      </c>
      <c r="N17" s="82">
        <v>830.9276</v>
      </c>
      <c r="O17" s="93">
        <v>4332.5221</v>
      </c>
      <c r="Q17" s="82">
        <v>2682.9223</v>
      </c>
    </row>
    <row r="18" spans="1:17" ht="12.75">
      <c r="A18" s="82" t="s">
        <v>31</v>
      </c>
      <c r="B18" s="82">
        <v>1341.2663</v>
      </c>
      <c r="C18" s="82">
        <v>-46.1517999999924</v>
      </c>
      <c r="D18" s="82">
        <v>0</v>
      </c>
      <c r="E18" s="82">
        <v>5362.2151</v>
      </c>
      <c r="F18" s="93">
        <v>6657.32960000001</v>
      </c>
      <c r="G18" s="82">
        <v>1160.8675</v>
      </c>
      <c r="H18" s="82">
        <v>175.0528</v>
      </c>
      <c r="I18" s="93">
        <v>5321.40930000001</v>
      </c>
      <c r="J18" s="82">
        <v>0</v>
      </c>
      <c r="K18" s="93">
        <v>5321.4093</v>
      </c>
      <c r="L18" s="82">
        <v>0</v>
      </c>
      <c r="M18" s="93">
        <v>5321.4093</v>
      </c>
      <c r="N18" s="82">
        <v>806.2549</v>
      </c>
      <c r="O18" s="93">
        <v>4515.1543</v>
      </c>
      <c r="Q18" s="82">
        <v>0</v>
      </c>
    </row>
    <row r="19" spans="1:17" ht="12.75">
      <c r="A19" s="82" t="s">
        <v>11</v>
      </c>
      <c r="B19" s="82">
        <v>9187.9058</v>
      </c>
      <c r="C19" s="82">
        <v>774.3922</v>
      </c>
      <c r="D19" s="82">
        <v>0</v>
      </c>
      <c r="E19" s="82">
        <v>120.2565</v>
      </c>
      <c r="F19" s="93">
        <v>10082.5546</v>
      </c>
      <c r="G19" s="82">
        <v>4248.9708</v>
      </c>
      <c r="H19" s="82">
        <v>1832.508</v>
      </c>
      <c r="I19" s="93">
        <v>4001.07579999999</v>
      </c>
      <c r="J19" s="82">
        <v>0</v>
      </c>
      <c r="K19" s="93">
        <v>4001.0758</v>
      </c>
      <c r="L19" s="82">
        <v>55.0139</v>
      </c>
      <c r="M19" s="93">
        <v>4056.0897</v>
      </c>
      <c r="N19" s="82">
        <v>739.8417</v>
      </c>
      <c r="O19" s="93">
        <v>3316.248</v>
      </c>
      <c r="Q19" s="82">
        <v>1902.4666</v>
      </c>
    </row>
    <row r="20" spans="1:17" ht="12.75">
      <c r="A20" s="82" t="s">
        <v>24</v>
      </c>
      <c r="B20" s="82">
        <v>1019.0515</v>
      </c>
      <c r="C20" s="82">
        <v>80.6734</v>
      </c>
      <c r="D20" s="82">
        <v>165.3005</v>
      </c>
      <c r="E20" s="82">
        <v>425.2173</v>
      </c>
      <c r="F20" s="93">
        <v>1690.2426</v>
      </c>
      <c r="G20" s="82">
        <v>1725.1617</v>
      </c>
      <c r="H20" s="82">
        <v>173.6149</v>
      </c>
      <c r="I20" s="93">
        <v>-208.534</v>
      </c>
      <c r="J20" s="82">
        <v>-0.0489999999990687</v>
      </c>
      <c r="K20" s="93">
        <v>-208.582799999999</v>
      </c>
      <c r="L20" s="82">
        <v>0.0001</v>
      </c>
      <c r="M20" s="93">
        <v>-208.582600000023</v>
      </c>
      <c r="N20" s="82">
        <v>-69.0743000000366</v>
      </c>
      <c r="O20" s="93">
        <v>-139.508300000045</v>
      </c>
      <c r="Q20" s="82">
        <v>700.7198</v>
      </c>
    </row>
    <row r="21" spans="1:17" ht="12.75">
      <c r="A21" s="82" t="s">
        <v>29</v>
      </c>
      <c r="B21" s="82">
        <v>-62.9906999999985</v>
      </c>
      <c r="C21" s="82">
        <v>-48.0275000000256</v>
      </c>
      <c r="D21" s="82">
        <v>0</v>
      </c>
      <c r="E21" s="82">
        <v>1987.3689</v>
      </c>
      <c r="F21" s="93">
        <v>1876.35069999998</v>
      </c>
      <c r="G21" s="82">
        <v>1432.5823</v>
      </c>
      <c r="H21" s="82">
        <v>-73.2229999999981</v>
      </c>
      <c r="I21" s="93">
        <v>516.991399999974</v>
      </c>
      <c r="J21" s="82">
        <v>0</v>
      </c>
      <c r="K21" s="93">
        <v>516.991400000001</v>
      </c>
      <c r="L21" s="82">
        <v>19.5486</v>
      </c>
      <c r="M21" s="93">
        <v>536.54</v>
      </c>
      <c r="N21" s="82">
        <v>67.4476</v>
      </c>
      <c r="O21" s="93">
        <v>469.0923</v>
      </c>
      <c r="Q21" s="82">
        <v>0</v>
      </c>
    </row>
    <row r="22" spans="1:17" ht="12.75">
      <c r="A22" s="82" t="s">
        <v>9</v>
      </c>
      <c r="B22" s="82">
        <v>2100.4559</v>
      </c>
      <c r="C22" s="82">
        <v>254.759</v>
      </c>
      <c r="D22" s="82">
        <v>25.2543</v>
      </c>
      <c r="E22" s="82">
        <v>21.3205</v>
      </c>
      <c r="F22" s="93">
        <v>2401.78969999997</v>
      </c>
      <c r="G22" s="82">
        <v>1683.5924</v>
      </c>
      <c r="H22" s="82">
        <v>71.598</v>
      </c>
      <c r="I22" s="93">
        <v>646.59929999997</v>
      </c>
      <c r="J22" s="82">
        <v>4.5487</v>
      </c>
      <c r="K22" s="93">
        <v>651.1481</v>
      </c>
      <c r="L22" s="82">
        <v>-75.5732000000426</v>
      </c>
      <c r="M22" s="93">
        <v>575.5748</v>
      </c>
      <c r="N22" s="82">
        <v>49.4311</v>
      </c>
      <c r="O22" s="93">
        <v>526.1437</v>
      </c>
      <c r="Q22" s="82">
        <v>25.5537</v>
      </c>
    </row>
    <row r="23" spans="1:17" ht="12.75">
      <c r="A23" s="82" t="s">
        <v>26</v>
      </c>
      <c r="B23" s="82">
        <v>283.5822</v>
      </c>
      <c r="C23" s="82">
        <v>6.37</v>
      </c>
      <c r="D23" s="82">
        <v>0</v>
      </c>
      <c r="E23" s="82">
        <v>49.2252</v>
      </c>
      <c r="F23" s="93">
        <v>339.1774</v>
      </c>
      <c r="G23" s="82">
        <v>379.7476</v>
      </c>
      <c r="H23" s="82">
        <v>-8.11690000002272</v>
      </c>
      <c r="I23" s="93">
        <v>-32.4532999999772</v>
      </c>
      <c r="J23" s="82">
        <v>110.1301</v>
      </c>
      <c r="K23" s="93">
        <v>77.6770000000217</v>
      </c>
      <c r="L23" s="82">
        <v>34.4296</v>
      </c>
      <c r="M23" s="93">
        <v>112.1066</v>
      </c>
      <c r="N23" s="82">
        <v>2.953</v>
      </c>
      <c r="O23" s="93">
        <v>109.1536</v>
      </c>
      <c r="Q23" s="82">
        <v>0</v>
      </c>
    </row>
    <row r="24" spans="1:17" ht="12.75">
      <c r="A24" s="82" t="s">
        <v>108</v>
      </c>
      <c r="B24" s="82">
        <v>4237.6603</v>
      </c>
      <c r="C24" s="82">
        <v>1695.7756</v>
      </c>
      <c r="D24" s="82">
        <v>78.0963</v>
      </c>
      <c r="E24" s="82">
        <v>56.4081999999979</v>
      </c>
      <c r="F24" s="93">
        <v>6067.94039999997</v>
      </c>
      <c r="G24" s="82">
        <v>2980.5107</v>
      </c>
      <c r="H24" s="82">
        <v>1760.6022</v>
      </c>
      <c r="I24" s="93">
        <v>1326.82749999997</v>
      </c>
      <c r="J24" s="82">
        <v>0</v>
      </c>
      <c r="K24" s="93">
        <v>1326.8275</v>
      </c>
      <c r="L24" s="82">
        <v>9.6983</v>
      </c>
      <c r="M24" s="93">
        <v>1336.5257</v>
      </c>
      <c r="N24" s="82">
        <v>227.2092</v>
      </c>
      <c r="O24" s="93">
        <v>1109.3165</v>
      </c>
      <c r="Q24" s="82">
        <v>1812.1958</v>
      </c>
    </row>
    <row r="25" spans="1:17" ht="12.75">
      <c r="A25" s="82" t="s">
        <v>30</v>
      </c>
      <c r="B25" s="82">
        <v>-19.3123</v>
      </c>
      <c r="C25" s="82">
        <v>412.2906</v>
      </c>
      <c r="D25" s="82">
        <v>0</v>
      </c>
      <c r="E25" s="82">
        <v>142.3685</v>
      </c>
      <c r="F25" s="93">
        <v>535.3468</v>
      </c>
      <c r="G25" s="82">
        <v>1683.6725</v>
      </c>
      <c r="H25" s="82">
        <v>0</v>
      </c>
      <c r="I25" s="93">
        <v>-1148.3257</v>
      </c>
      <c r="J25" s="82">
        <v>-10.594000000041</v>
      </c>
      <c r="K25" s="93">
        <v>-1158.91950000004</v>
      </c>
      <c r="L25" s="82">
        <v>23.9408</v>
      </c>
      <c r="M25" s="93">
        <v>-1134.97860000003</v>
      </c>
      <c r="N25" s="82">
        <v>-169.837700000033</v>
      </c>
      <c r="O25" s="93">
        <v>-965.140799999994</v>
      </c>
      <c r="Q25" s="82">
        <v>0</v>
      </c>
    </row>
    <row r="26" spans="1:17" ht="12.75">
      <c r="A26" s="82" t="s">
        <v>22</v>
      </c>
      <c r="B26" s="82">
        <v>3428.5322</v>
      </c>
      <c r="C26" s="82">
        <v>586.6282</v>
      </c>
      <c r="D26" s="82">
        <v>0</v>
      </c>
      <c r="E26" s="82">
        <v>146.6009</v>
      </c>
      <c r="F26" s="93">
        <v>4161.7613</v>
      </c>
      <c r="G26" s="82">
        <v>2870.8225</v>
      </c>
      <c r="H26" s="82">
        <v>962.1874</v>
      </c>
      <c r="I26" s="93">
        <v>328.7514</v>
      </c>
      <c r="J26" s="82">
        <v>58.4347</v>
      </c>
      <c r="K26" s="93">
        <v>387.1862</v>
      </c>
      <c r="L26" s="82">
        <v>64.3747</v>
      </c>
      <c r="M26" s="93">
        <v>451.5609</v>
      </c>
      <c r="N26" s="82">
        <v>0</v>
      </c>
      <c r="O26" s="93">
        <v>451.5609</v>
      </c>
      <c r="Q26" s="82">
        <v>938.4645</v>
      </c>
    </row>
    <row r="27" spans="1:17" ht="12.75">
      <c r="A27" s="82" t="s">
        <v>10</v>
      </c>
      <c r="B27" s="82">
        <v>112503.0236</v>
      </c>
      <c r="C27" s="82">
        <v>27517.3507</v>
      </c>
      <c r="D27" s="82">
        <v>7988.4777</v>
      </c>
      <c r="E27" s="82">
        <v>6463.39269999996</v>
      </c>
      <c r="F27" s="93">
        <v>154472.2446</v>
      </c>
      <c r="G27" s="82">
        <v>62957.133</v>
      </c>
      <c r="H27" s="82">
        <v>25405.4499</v>
      </c>
      <c r="I27" s="93">
        <v>66109.6617</v>
      </c>
      <c r="J27" s="82">
        <v>9735.6296</v>
      </c>
      <c r="K27" s="93">
        <v>75845.2914999999</v>
      </c>
      <c r="L27" s="82">
        <v>-11262.2124</v>
      </c>
      <c r="M27" s="93">
        <v>64583.079</v>
      </c>
      <c r="N27" s="82">
        <v>10622.8077</v>
      </c>
      <c r="O27" s="93">
        <v>53960.2712</v>
      </c>
      <c r="Q27" s="82">
        <v>24979.3653</v>
      </c>
    </row>
    <row r="28" spans="1:17" ht="12.75">
      <c r="A28" s="82" t="s">
        <v>32</v>
      </c>
      <c r="B28" s="82">
        <v>10304.0755</v>
      </c>
      <c r="C28" s="82">
        <v>1534.8202</v>
      </c>
      <c r="D28" s="82">
        <v>96.309</v>
      </c>
      <c r="E28" s="82">
        <v>1583.1451</v>
      </c>
      <c r="F28" s="93">
        <v>13518.3498</v>
      </c>
      <c r="G28" s="82">
        <v>6674.663</v>
      </c>
      <c r="H28" s="82">
        <v>2485.9001</v>
      </c>
      <c r="I28" s="93">
        <v>4357.78669999997</v>
      </c>
      <c r="J28" s="82">
        <v>1465.0144</v>
      </c>
      <c r="K28" s="93">
        <v>5822.80119999999</v>
      </c>
      <c r="L28" s="82">
        <v>-362.966899999999</v>
      </c>
      <c r="M28" s="93">
        <v>5459.8342</v>
      </c>
      <c r="N28" s="82">
        <v>550</v>
      </c>
      <c r="O28" s="93">
        <v>4909.8342</v>
      </c>
      <c r="Q28" s="82">
        <v>2219.1637</v>
      </c>
    </row>
    <row r="29" spans="1:17" ht="12.75">
      <c r="A29" s="83" t="s">
        <v>21</v>
      </c>
      <c r="B29" s="83">
        <v>9256.66449999999</v>
      </c>
      <c r="C29" s="83">
        <v>2903.8869</v>
      </c>
      <c r="D29" s="83">
        <v>780.3014</v>
      </c>
      <c r="E29" s="83">
        <v>832.7036</v>
      </c>
      <c r="F29" s="94">
        <v>13773.5564</v>
      </c>
      <c r="G29" s="83">
        <v>9087.5477</v>
      </c>
      <c r="H29" s="83">
        <v>2220.3807</v>
      </c>
      <c r="I29" s="94">
        <v>2465.62799999996</v>
      </c>
      <c r="J29" s="83">
        <v>1012.743</v>
      </c>
      <c r="K29" s="94">
        <v>3478.3712</v>
      </c>
      <c r="L29" s="83">
        <v>1208.2536</v>
      </c>
      <c r="M29" s="94">
        <v>4686.625</v>
      </c>
      <c r="N29" s="83">
        <v>579.0186</v>
      </c>
      <c r="O29" s="94">
        <v>4107.6063</v>
      </c>
      <c r="Q29" s="83">
        <v>2348.3966</v>
      </c>
    </row>
    <row r="30" spans="6:15" ht="12.75">
      <c r="F30" s="64"/>
      <c r="I30" s="64"/>
      <c r="K30" s="64"/>
      <c r="M30" s="64"/>
      <c r="O30" s="64"/>
    </row>
    <row r="31" spans="1:17" ht="12.75">
      <c r="A31" s="79" t="s">
        <v>143</v>
      </c>
      <c r="B31" s="79">
        <v>56659.246</v>
      </c>
      <c r="C31" s="79">
        <v>15470.6543</v>
      </c>
      <c r="D31" s="79">
        <v>4961.3307</v>
      </c>
      <c r="E31" s="79">
        <v>9818.1922</v>
      </c>
      <c r="F31" s="96">
        <v>86909.4231</v>
      </c>
      <c r="G31" s="79">
        <v>52577.8206</v>
      </c>
      <c r="H31" s="79">
        <v>13134.2923</v>
      </c>
      <c r="I31" s="96">
        <v>21197.3102</v>
      </c>
      <c r="J31" s="79">
        <v>2405.5652</v>
      </c>
      <c r="K31" s="96">
        <v>23602.8756</v>
      </c>
      <c r="L31" s="79">
        <v>-360.978000000003</v>
      </c>
      <c r="M31" s="96">
        <v>23241.8974</v>
      </c>
      <c r="N31" s="79">
        <v>12808.534</v>
      </c>
      <c r="O31" s="96">
        <v>10433.3634</v>
      </c>
      <c r="P31" s="80"/>
      <c r="Q31" s="79">
        <v>8881.5917</v>
      </c>
    </row>
    <row r="32" spans="1:17" ht="12.75">
      <c r="A32" s="80"/>
      <c r="B32" s="80"/>
      <c r="C32" s="80"/>
      <c r="D32" s="80"/>
      <c r="E32" s="80"/>
      <c r="F32" s="64"/>
      <c r="G32" s="80"/>
      <c r="H32" s="80"/>
      <c r="I32" s="64"/>
      <c r="J32" s="80"/>
      <c r="K32" s="64"/>
      <c r="L32" s="80"/>
      <c r="M32" s="64"/>
      <c r="N32" s="80"/>
      <c r="O32" s="64"/>
      <c r="P32" s="80"/>
      <c r="Q32" s="80"/>
    </row>
    <row r="33" spans="1:17" ht="12.75">
      <c r="A33" s="79" t="s">
        <v>23</v>
      </c>
      <c r="B33" s="79">
        <v>54237.8285</v>
      </c>
      <c r="C33" s="79">
        <v>6945.9726</v>
      </c>
      <c r="D33" s="79">
        <v>1746.8842</v>
      </c>
      <c r="E33" s="79">
        <v>8517.86990000001</v>
      </c>
      <c r="F33" s="96">
        <v>71448.5552</v>
      </c>
      <c r="G33" s="79">
        <v>33357.9327</v>
      </c>
      <c r="H33" s="79">
        <v>4679.8186</v>
      </c>
      <c r="I33" s="96">
        <v>33410.8039</v>
      </c>
      <c r="J33" s="79">
        <v>2223.3254</v>
      </c>
      <c r="K33" s="96">
        <v>35634.1294</v>
      </c>
      <c r="L33" s="79">
        <v>980.6859</v>
      </c>
      <c r="M33" s="96">
        <v>36614.8154</v>
      </c>
      <c r="N33" s="79">
        <v>5124.1326</v>
      </c>
      <c r="O33" s="96">
        <v>31490.6828</v>
      </c>
      <c r="P33" s="80"/>
      <c r="Q33" s="79">
        <v>8377.5393</v>
      </c>
    </row>
    <row r="34" spans="1:17" ht="12.75">
      <c r="A34" s="82" t="s">
        <v>34</v>
      </c>
      <c r="B34" s="81">
        <v>12833.1356</v>
      </c>
      <c r="C34" s="82">
        <v>2457.9849</v>
      </c>
      <c r="D34" s="82">
        <v>319.2699</v>
      </c>
      <c r="E34" s="82">
        <v>1567.3894</v>
      </c>
      <c r="F34" s="93">
        <v>17177.7797</v>
      </c>
      <c r="G34" s="82">
        <v>9851.74</v>
      </c>
      <c r="H34" s="82">
        <v>2259.4079</v>
      </c>
      <c r="I34" s="93">
        <v>5066.63179999998</v>
      </c>
      <c r="J34" s="82">
        <v>632.7974</v>
      </c>
      <c r="K34" s="93">
        <v>5699.42929999999</v>
      </c>
      <c r="L34" s="82">
        <v>186.915</v>
      </c>
      <c r="M34" s="93">
        <v>5886.3442</v>
      </c>
      <c r="N34" s="82">
        <v>986.6508</v>
      </c>
      <c r="O34" s="92">
        <v>4899.6934</v>
      </c>
      <c r="Q34" s="81">
        <v>5114.2658</v>
      </c>
    </row>
    <row r="35" spans="1:17" ht="12.75">
      <c r="A35" s="82" t="s">
        <v>12</v>
      </c>
      <c r="B35" s="82">
        <v>20304.709</v>
      </c>
      <c r="C35" s="82">
        <v>4412.2968</v>
      </c>
      <c r="D35" s="82">
        <v>1417.4824</v>
      </c>
      <c r="E35" s="82">
        <v>1914.2599</v>
      </c>
      <c r="F35" s="93">
        <v>28048.748</v>
      </c>
      <c r="G35" s="82">
        <v>21304.2987</v>
      </c>
      <c r="H35" s="82">
        <v>2543.8747</v>
      </c>
      <c r="I35" s="93">
        <v>4200.57459999999</v>
      </c>
      <c r="J35" s="82">
        <v>1590.528</v>
      </c>
      <c r="K35" s="93">
        <v>5791.1028</v>
      </c>
      <c r="L35" s="82">
        <v>944.9508</v>
      </c>
      <c r="M35" s="93">
        <v>6736.0536</v>
      </c>
      <c r="N35" s="82">
        <v>733.6609</v>
      </c>
      <c r="O35" s="93">
        <v>6002.3927</v>
      </c>
      <c r="Q35" s="82">
        <v>3263.2734</v>
      </c>
    </row>
    <row r="36" spans="1:17" ht="12.75">
      <c r="A36" s="82" t="s">
        <v>14</v>
      </c>
      <c r="B36" s="82">
        <v>428.5028</v>
      </c>
      <c r="C36" s="82">
        <v>13.644</v>
      </c>
      <c r="D36" s="82">
        <v>6.3514</v>
      </c>
      <c r="E36" s="82">
        <v>91.242</v>
      </c>
      <c r="F36" s="93">
        <v>539.7402</v>
      </c>
      <c r="G36" s="82">
        <v>159.6245</v>
      </c>
      <c r="H36" s="82">
        <v>6.5268</v>
      </c>
      <c r="I36" s="93">
        <v>373.5889</v>
      </c>
      <c r="J36" s="82">
        <v>0</v>
      </c>
      <c r="K36" s="93">
        <v>373.589</v>
      </c>
      <c r="L36" s="82">
        <v>-344.657999999996</v>
      </c>
      <c r="M36" s="93">
        <v>28.9309</v>
      </c>
      <c r="N36" s="82">
        <v>0</v>
      </c>
      <c r="O36" s="93">
        <v>28.9309</v>
      </c>
      <c r="Q36" s="82">
        <v>0</v>
      </c>
    </row>
    <row r="37" spans="1:17" ht="12.75">
      <c r="A37" s="82" t="s">
        <v>13</v>
      </c>
      <c r="B37" s="82">
        <v>316.4563</v>
      </c>
      <c r="C37" s="82">
        <v>21.5038</v>
      </c>
      <c r="D37" s="82">
        <v>3.7803</v>
      </c>
      <c r="E37" s="82">
        <v>157.395</v>
      </c>
      <c r="F37" s="93">
        <v>499.1354</v>
      </c>
      <c r="G37" s="82">
        <v>511.1012</v>
      </c>
      <c r="H37" s="82">
        <v>-6.51030000002356</v>
      </c>
      <c r="I37" s="93">
        <v>-5.45549999997644</v>
      </c>
      <c r="J37" s="82">
        <v>0</v>
      </c>
      <c r="K37" s="93">
        <v>-5.45539999998761</v>
      </c>
      <c r="L37" s="82">
        <v>5.1095</v>
      </c>
      <c r="M37" s="93">
        <v>-0.345600000000559</v>
      </c>
      <c r="N37" s="82">
        <v>3.1955</v>
      </c>
      <c r="O37" s="93">
        <v>-3.54120000003604</v>
      </c>
      <c r="Q37" s="82">
        <v>0</v>
      </c>
    </row>
    <row r="38" spans="1:17" ht="12.75">
      <c r="A38" s="82" t="s">
        <v>35</v>
      </c>
      <c r="B38" s="82">
        <v>598.408</v>
      </c>
      <c r="C38" s="82">
        <v>34.8246</v>
      </c>
      <c r="D38" s="82">
        <v>0</v>
      </c>
      <c r="E38" s="82">
        <v>121.9691</v>
      </c>
      <c r="F38" s="93">
        <v>755.2017</v>
      </c>
      <c r="G38" s="82">
        <v>280.666</v>
      </c>
      <c r="H38" s="82">
        <v>-71.7989999999991</v>
      </c>
      <c r="I38" s="93">
        <v>546.334699999999</v>
      </c>
      <c r="J38" s="82">
        <v>0</v>
      </c>
      <c r="K38" s="93">
        <v>546.334799999999</v>
      </c>
      <c r="L38" s="82">
        <v>6.4621</v>
      </c>
      <c r="M38" s="93">
        <v>552.797</v>
      </c>
      <c r="N38" s="82">
        <v>0</v>
      </c>
      <c r="O38" s="93">
        <v>552.797</v>
      </c>
      <c r="Q38" s="82">
        <v>0</v>
      </c>
    </row>
    <row r="39" spans="1:17" ht="12.75">
      <c r="A39" s="83" t="s">
        <v>33</v>
      </c>
      <c r="B39" s="83">
        <v>19756.6168</v>
      </c>
      <c r="C39" s="83">
        <v>5.7184</v>
      </c>
      <c r="D39" s="83">
        <v>0</v>
      </c>
      <c r="E39" s="83">
        <v>4665.6141</v>
      </c>
      <c r="F39" s="94">
        <v>24427.9493</v>
      </c>
      <c r="G39" s="83">
        <v>1250.5021</v>
      </c>
      <c r="H39" s="83">
        <v>-51.6814000000013</v>
      </c>
      <c r="I39" s="94">
        <v>23229.1286</v>
      </c>
      <c r="J39" s="83">
        <v>0</v>
      </c>
      <c r="K39" s="94">
        <v>23229.1288</v>
      </c>
      <c r="L39" s="83">
        <v>181.9063</v>
      </c>
      <c r="M39" s="94">
        <v>23411.0352</v>
      </c>
      <c r="N39" s="83">
        <v>3400.6253</v>
      </c>
      <c r="O39" s="94">
        <v>20010.4099</v>
      </c>
      <c r="Q39" s="83">
        <v>0</v>
      </c>
    </row>
    <row r="41" spans="1:17" ht="12.75">
      <c r="A41" s="78" t="s">
        <v>15</v>
      </c>
      <c r="B41" s="79">
        <v>446300.5396</v>
      </c>
      <c r="C41" s="79">
        <v>113588.1738</v>
      </c>
      <c r="D41" s="79">
        <v>32653.6166</v>
      </c>
      <c r="E41" s="79">
        <v>45836.5575</v>
      </c>
      <c r="F41" s="96">
        <v>638378.8876</v>
      </c>
      <c r="G41" s="79">
        <v>323259.0661</v>
      </c>
      <c r="H41" s="79">
        <v>93665.51</v>
      </c>
      <c r="I41" s="96">
        <v>221454.3115</v>
      </c>
      <c r="J41" s="79">
        <v>34334.2238</v>
      </c>
      <c r="K41" s="96">
        <v>255788.5353</v>
      </c>
      <c r="L41" s="79">
        <v>-12769.4868</v>
      </c>
      <c r="M41" s="96">
        <v>243019.0483</v>
      </c>
      <c r="N41" s="79">
        <v>42287.7744</v>
      </c>
      <c r="O41" s="96">
        <v>200731.2739</v>
      </c>
      <c r="P41" s="45"/>
      <c r="Q41" s="79">
        <v>93826.0358</v>
      </c>
    </row>
    <row r="42" spans="1:17" ht="12.75">
      <c r="A42" s="86"/>
      <c r="B42" s="87"/>
      <c r="C42" s="87"/>
      <c r="D42" s="87"/>
      <c r="E42" s="87"/>
      <c r="F42" s="34"/>
      <c r="G42" s="87"/>
      <c r="H42" s="87"/>
      <c r="I42" s="34"/>
      <c r="J42" s="87"/>
      <c r="K42" s="34"/>
      <c r="L42" s="87"/>
      <c r="M42" s="34"/>
      <c r="N42" s="95"/>
      <c r="O42" s="34"/>
      <c r="P42" s="6"/>
      <c r="Q42" s="87"/>
    </row>
    <row r="43" spans="1:16" ht="12.75">
      <c r="A43" s="86" t="s">
        <v>27</v>
      </c>
      <c r="F43" s="64"/>
      <c r="I43" s="64"/>
      <c r="K43" s="64"/>
      <c r="M43" s="64"/>
      <c r="O43" s="64"/>
      <c r="P43" s="6"/>
    </row>
    <row r="44" spans="1:17" ht="12.75">
      <c r="A44" s="88" t="s">
        <v>142</v>
      </c>
      <c r="B44" s="88">
        <v>10318.7669</v>
      </c>
      <c r="C44" s="88">
        <v>680.1441</v>
      </c>
      <c r="D44" s="88">
        <v>935.1255</v>
      </c>
      <c r="E44" s="88">
        <v>-357.2003</v>
      </c>
      <c r="F44" s="96">
        <v>11576.8362999999</v>
      </c>
      <c r="G44" s="88">
        <v>6144.1009</v>
      </c>
      <c r="H44" s="88">
        <v>2678.8108</v>
      </c>
      <c r="I44" s="96">
        <v>2753.92459999995</v>
      </c>
      <c r="J44" s="88">
        <v>0</v>
      </c>
      <c r="K44" s="96">
        <v>2753.9247</v>
      </c>
      <c r="L44" s="88">
        <v>117.1698</v>
      </c>
      <c r="M44" s="96">
        <v>2871.0944</v>
      </c>
      <c r="N44" s="88">
        <v>517.4658</v>
      </c>
      <c r="O44" s="96">
        <v>2353.6285</v>
      </c>
      <c r="P44" s="6"/>
      <c r="Q44" s="88">
        <v>2410.6265</v>
      </c>
    </row>
    <row r="45" spans="1:17" ht="12.75">
      <c r="A45" s="88" t="s">
        <v>141</v>
      </c>
      <c r="B45" s="88">
        <v>42173.9148</v>
      </c>
      <c r="C45" s="88">
        <v>13063.185</v>
      </c>
      <c r="D45" s="88">
        <v>2200.2435</v>
      </c>
      <c r="E45" s="88">
        <v>566.089999999955</v>
      </c>
      <c r="F45" s="96">
        <v>58003.4331999999</v>
      </c>
      <c r="G45" s="88">
        <v>33106.8538</v>
      </c>
      <c r="H45" s="88">
        <v>6764.5999</v>
      </c>
      <c r="I45" s="96">
        <v>18131.9794999999</v>
      </c>
      <c r="J45" s="88">
        <v>6399.61389999998</v>
      </c>
      <c r="K45" s="96">
        <v>24531.5934</v>
      </c>
      <c r="L45" s="88">
        <v>-1851.14770000003</v>
      </c>
      <c r="M45" s="96">
        <v>22680.4456</v>
      </c>
      <c r="N45" s="88">
        <v>3251.7219</v>
      </c>
      <c r="O45" s="96">
        <v>19428.7237</v>
      </c>
      <c r="P45" s="6"/>
      <c r="Q45" s="88">
        <v>5988.923</v>
      </c>
    </row>
    <row r="46" ht="12.75">
      <c r="A46" s="45"/>
    </row>
    <row r="47" spans="1:15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ht="12.75">
      <c r="A48" s="3" t="s">
        <v>140</v>
      </c>
    </row>
    <row r="49" ht="12.75">
      <c r="A49" s="3" t="s">
        <v>245</v>
      </c>
    </row>
    <row r="51" ht="12.75">
      <c r="A51" s="3" t="s">
        <v>103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10" t="s">
        <v>155</v>
      </c>
      <c r="L1" s="114" t="s">
        <v>162</v>
      </c>
    </row>
    <row r="2" spans="1:12" ht="12.75">
      <c r="A2" s="110" t="s">
        <v>156</v>
      </c>
      <c r="L2" s="114"/>
    </row>
    <row r="3" spans="1:12" ht="18">
      <c r="A3" s="186" t="s">
        <v>262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.75">
      <c r="A4" s="187" t="s">
        <v>92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69"/>
      <c r="B6" s="183" t="s">
        <v>150</v>
      </c>
      <c r="C6" s="184"/>
      <c r="D6" s="184"/>
      <c r="E6" s="184"/>
      <c r="F6" s="185"/>
      <c r="G6" s="183" t="s">
        <v>86</v>
      </c>
      <c r="H6" s="185"/>
      <c r="I6" s="183" t="s">
        <v>90</v>
      </c>
      <c r="J6" s="185"/>
      <c r="K6" s="183" t="s">
        <v>151</v>
      </c>
      <c r="L6" s="185"/>
    </row>
    <row r="7" spans="1:12" ht="12.75">
      <c r="A7" s="72" t="s">
        <v>20</v>
      </c>
      <c r="B7" s="183" t="s">
        <v>0</v>
      </c>
      <c r="C7" s="184"/>
      <c r="D7" s="184"/>
      <c r="E7" s="184"/>
      <c r="F7" s="185"/>
      <c r="G7" s="97" t="s">
        <v>88</v>
      </c>
      <c r="H7" s="98" t="s">
        <v>89</v>
      </c>
      <c r="I7" s="98" t="s">
        <v>109</v>
      </c>
      <c r="J7" s="98" t="s">
        <v>109</v>
      </c>
      <c r="K7" s="72" t="s">
        <v>110</v>
      </c>
      <c r="L7" s="72" t="s">
        <v>111</v>
      </c>
    </row>
    <row r="8" spans="1:12" ht="12.75">
      <c r="A8" s="74"/>
      <c r="B8" s="75" t="s">
        <v>96</v>
      </c>
      <c r="C8" s="74" t="s">
        <v>97</v>
      </c>
      <c r="D8" s="74" t="s">
        <v>95</v>
      </c>
      <c r="E8" s="74" t="s">
        <v>36</v>
      </c>
      <c r="F8" s="74" t="s">
        <v>106</v>
      </c>
      <c r="G8" s="75" t="s">
        <v>87</v>
      </c>
      <c r="H8" s="74" t="s">
        <v>87</v>
      </c>
      <c r="I8" s="74" t="s">
        <v>113</v>
      </c>
      <c r="J8" s="74" t="s">
        <v>112</v>
      </c>
      <c r="K8" s="74"/>
      <c r="L8" s="74"/>
    </row>
    <row r="9" spans="2:10" ht="12.75">
      <c r="B9" s="77"/>
      <c r="C9" s="77"/>
      <c r="D9" s="77"/>
      <c r="E9" s="77"/>
      <c r="F9" s="77"/>
      <c r="G9" s="77"/>
      <c r="H9" s="77"/>
      <c r="I9" s="77"/>
      <c r="J9" s="77"/>
    </row>
    <row r="10" spans="1:12" ht="12.75">
      <c r="A10" s="78" t="s">
        <v>16</v>
      </c>
      <c r="B10" s="99">
        <v>13.643959024220639</v>
      </c>
      <c r="C10" s="99">
        <v>9.989951533532922</v>
      </c>
      <c r="D10" s="99">
        <v>24.012606142162525</v>
      </c>
      <c r="E10" s="99">
        <v>20.635230238352186</v>
      </c>
      <c r="F10" s="99">
        <v>26.3266926502588</v>
      </c>
      <c r="G10" s="99">
        <v>1.9164196134454</v>
      </c>
      <c r="H10" s="99">
        <v>1.25821203173976</v>
      </c>
      <c r="I10" s="99">
        <v>49.4402032178479</v>
      </c>
      <c r="J10" s="99">
        <v>2.16970553860818</v>
      </c>
      <c r="K10" s="165">
        <v>21.1656829139076</v>
      </c>
      <c r="L10" s="166">
        <v>18.3512806730323</v>
      </c>
    </row>
    <row r="11" spans="1:12" ht="12.75">
      <c r="A11" s="81" t="s">
        <v>28</v>
      </c>
      <c r="B11" s="100">
        <v>11.382030397176155</v>
      </c>
      <c r="C11" s="100">
        <v>11.384105357930267</v>
      </c>
      <c r="D11" s="100">
        <v>10.985807799867848</v>
      </c>
      <c r="E11" s="100">
        <v>-26.260461880314466</v>
      </c>
      <c r="F11" s="100">
        <v>13.350771385399863</v>
      </c>
      <c r="G11" s="100">
        <v>0.855005098132436</v>
      </c>
      <c r="H11" s="100">
        <v>0.79355933294175</v>
      </c>
      <c r="I11" s="100">
        <v>93.7189200477255</v>
      </c>
      <c r="J11" s="100">
        <v>2.02010197526593</v>
      </c>
      <c r="K11" s="167">
        <v>2.3450950397155</v>
      </c>
      <c r="L11" s="168">
        <v>2.44333913919574</v>
      </c>
    </row>
    <row r="12" spans="1:12" ht="12.75">
      <c r="A12" s="82" t="s">
        <v>25</v>
      </c>
      <c r="B12" s="101">
        <v>20.365950264698547</v>
      </c>
      <c r="C12" s="101">
        <v>24.94685443228584</v>
      </c>
      <c r="D12" s="101">
        <v>12.201041870225374</v>
      </c>
      <c r="E12" s="101">
        <v>-0.8199573810312161</v>
      </c>
      <c r="F12" s="101">
        <v>17.324629194610843</v>
      </c>
      <c r="G12" s="101">
        <v>1.92381840210825</v>
      </c>
      <c r="H12" s="101">
        <v>1.61532917217427</v>
      </c>
      <c r="I12" s="101">
        <v>59.8982421567121</v>
      </c>
      <c r="J12" s="101">
        <v>1.97845252798083</v>
      </c>
      <c r="K12" s="169">
        <v>14.8182039611376</v>
      </c>
      <c r="L12" s="170">
        <v>13.210024348853</v>
      </c>
    </row>
    <row r="13" spans="1:12" ht="12.75">
      <c r="A13" s="82" t="s">
        <v>5</v>
      </c>
      <c r="B13" s="101">
        <v>13.930124485030317</v>
      </c>
      <c r="C13" s="101">
        <v>15.534497630490801</v>
      </c>
      <c r="D13" s="101">
        <v>2.388118637120282</v>
      </c>
      <c r="E13" s="101">
        <v>7.5560657403822615</v>
      </c>
      <c r="F13" s="101">
        <v>0.6763350213399082</v>
      </c>
      <c r="G13" s="101">
        <v>1.22135248519588</v>
      </c>
      <c r="H13" s="101">
        <v>0.415691292916559</v>
      </c>
      <c r="I13" s="101">
        <v>87.7994360988751</v>
      </c>
      <c r="J13" s="101">
        <v>1.57745792739005</v>
      </c>
      <c r="K13" s="169">
        <v>7.85170079921091</v>
      </c>
      <c r="L13" s="170">
        <v>7.70871410866237</v>
      </c>
    </row>
    <row r="14" spans="1:12" ht="12.75">
      <c r="A14" s="82" t="s">
        <v>6</v>
      </c>
      <c r="B14" s="101">
        <v>19.042412616073644</v>
      </c>
      <c r="C14" s="101">
        <v>16.359749118967805</v>
      </c>
      <c r="D14" s="101">
        <v>32.22669301839651</v>
      </c>
      <c r="E14" s="101">
        <v>19.15439404195073</v>
      </c>
      <c r="F14" s="101">
        <v>60.427345918812236</v>
      </c>
      <c r="G14" s="101">
        <v>1.66453894615352</v>
      </c>
      <c r="H14" s="101">
        <v>0.964499275528207</v>
      </c>
      <c r="I14" s="101">
        <v>42.7034684413995</v>
      </c>
      <c r="J14" s="101">
        <v>1.51320896687281</v>
      </c>
      <c r="K14" s="169">
        <v>15.1994507293006</v>
      </c>
      <c r="L14" s="170">
        <v>12.6173145836854</v>
      </c>
    </row>
    <row r="15" spans="1:12" ht="12.75">
      <c r="A15" s="82" t="s">
        <v>7</v>
      </c>
      <c r="B15" s="101">
        <v>7.951645895653067</v>
      </c>
      <c r="C15" s="101">
        <v>4.052712590849705</v>
      </c>
      <c r="D15" s="101">
        <v>19.617328483318115</v>
      </c>
      <c r="E15" s="101">
        <v>17.241920673011403</v>
      </c>
      <c r="F15" s="101">
        <v>21.183776110736986</v>
      </c>
      <c r="G15" s="101">
        <v>2.09915130529996</v>
      </c>
      <c r="H15" s="101">
        <v>1.26935416688786</v>
      </c>
      <c r="I15" s="101">
        <v>49.3020554054926</v>
      </c>
      <c r="J15" s="101">
        <v>2.26222248025989</v>
      </c>
      <c r="K15" s="169">
        <v>33.9504151395369</v>
      </c>
      <c r="L15" s="170">
        <v>31.5366239329301</v>
      </c>
    </row>
    <row r="16" spans="1:12" ht="12.75">
      <c r="A16" s="82" t="s">
        <v>144</v>
      </c>
      <c r="B16" s="102">
        <v>19.129133123496224</v>
      </c>
      <c r="C16" s="102">
        <v>16.74154765006649</v>
      </c>
      <c r="D16" s="102">
        <v>25.838605751323296</v>
      </c>
      <c r="E16" s="102">
        <v>17.98073693542743</v>
      </c>
      <c r="F16" s="102">
        <v>32.42257535011145</v>
      </c>
      <c r="G16" s="101">
        <v>1.85638242481681</v>
      </c>
      <c r="H16" s="101">
        <v>1.16391122329341</v>
      </c>
      <c r="I16" s="101">
        <v>56.4144239820537</v>
      </c>
      <c r="J16" s="101">
        <v>2.46454443864029</v>
      </c>
      <c r="K16" s="169">
        <v>21.972785032428</v>
      </c>
      <c r="L16" s="170">
        <v>18.402655312938</v>
      </c>
    </row>
    <row r="17" spans="1:12" ht="12.75">
      <c r="A17" s="82" t="s">
        <v>8</v>
      </c>
      <c r="B17" s="101">
        <v>12.519687137898886</v>
      </c>
      <c r="C17" s="101">
        <v>14.617779304668762</v>
      </c>
      <c r="D17" s="101">
        <v>4.253901060221075</v>
      </c>
      <c r="E17" s="101">
        <v>7.877965096035738</v>
      </c>
      <c r="F17" s="101">
        <v>3.753728668182601</v>
      </c>
      <c r="G17" s="101">
        <v>2.74242202368787</v>
      </c>
      <c r="H17" s="101">
        <v>1.69219122194137</v>
      </c>
      <c r="I17" s="101">
        <v>48.0930928050926</v>
      </c>
      <c r="J17" s="101">
        <v>2.54514788956086</v>
      </c>
      <c r="K17" s="169">
        <v>13.9140019281731</v>
      </c>
      <c r="L17" s="170">
        <v>11.6748924049291</v>
      </c>
    </row>
    <row r="18" spans="1:12" ht="12.75">
      <c r="A18" s="82" t="s">
        <v>31</v>
      </c>
      <c r="B18" s="101">
        <v>887.1015116566326</v>
      </c>
      <c r="C18" s="101">
        <v>887.1015116566326</v>
      </c>
      <c r="D18" s="102" t="s">
        <v>263</v>
      </c>
      <c r="E18" s="102" t="s">
        <v>263</v>
      </c>
      <c r="F18" s="102" t="s">
        <v>264</v>
      </c>
      <c r="G18" s="101">
        <v>0.549702947600535</v>
      </c>
      <c r="H18" s="101">
        <v>0</v>
      </c>
      <c r="I18" s="101">
        <v>17.4374346735063</v>
      </c>
      <c r="J18" s="101">
        <v>1.00820045914503</v>
      </c>
      <c r="K18" s="169">
        <v>28.1057132544836</v>
      </c>
      <c r="L18" s="170">
        <v>23.8473729234751</v>
      </c>
    </row>
    <row r="19" spans="1:12" ht="12.75">
      <c r="A19" s="82" t="s">
        <v>11</v>
      </c>
      <c r="B19" s="101">
        <v>26.832061969646016</v>
      </c>
      <c r="C19" s="101">
        <v>1274.1342733661795</v>
      </c>
      <c r="D19" s="101">
        <v>24.41373516154717</v>
      </c>
      <c r="E19" s="101">
        <v>18.999093288197866</v>
      </c>
      <c r="F19" s="101">
        <v>53.63047922405493</v>
      </c>
      <c r="G19" s="101">
        <v>3.46142536618189</v>
      </c>
      <c r="H19" s="101">
        <v>0.209487514880289</v>
      </c>
      <c r="I19" s="101">
        <v>42.1418079898125</v>
      </c>
      <c r="J19" s="101">
        <v>5.39695901021632</v>
      </c>
      <c r="K19" s="169">
        <v>33.6835606381876</v>
      </c>
      <c r="L19" s="170">
        <v>27.5395883378192</v>
      </c>
    </row>
    <row r="20" spans="1:12" ht="12.75">
      <c r="A20" s="82" t="s">
        <v>24</v>
      </c>
      <c r="B20" s="101">
        <v>27.327721100541126</v>
      </c>
      <c r="C20" s="101">
        <v>27.327721100541126</v>
      </c>
      <c r="D20" s="102" t="s">
        <v>263</v>
      </c>
      <c r="E20" s="102" t="s">
        <v>263</v>
      </c>
      <c r="F20" s="102" t="s">
        <v>263</v>
      </c>
      <c r="G20" s="101">
        <v>2.66642995538537</v>
      </c>
      <c r="H20" s="101">
        <v>1.65330050694376</v>
      </c>
      <c r="I20" s="101">
        <v>102.065922371144</v>
      </c>
      <c r="J20" s="101">
        <v>6.08227654553831</v>
      </c>
      <c r="K20" s="169">
        <v>-6.59212336882866</v>
      </c>
      <c r="L20" s="170">
        <v>-4.40907307021656</v>
      </c>
    </row>
    <row r="21" spans="1:12" ht="12.75">
      <c r="A21" s="82" t="s">
        <v>29</v>
      </c>
      <c r="B21" s="101">
        <v>9.53327858496261</v>
      </c>
      <c r="C21" s="101">
        <v>9.542180566595091</v>
      </c>
      <c r="D21" s="101">
        <v>-5.467677298282917</v>
      </c>
      <c r="E21" s="101">
        <v>-5.467677298282917</v>
      </c>
      <c r="F21" s="102" t="s">
        <v>263</v>
      </c>
      <c r="G21" s="101">
        <v>1.07726661381581</v>
      </c>
      <c r="H21" s="101">
        <v>0.0141974929297403</v>
      </c>
      <c r="I21" s="101">
        <v>76.3493892692884</v>
      </c>
      <c r="J21" s="101">
        <v>1.21693912224945</v>
      </c>
      <c r="K21" s="169">
        <v>2.42723048144575</v>
      </c>
      <c r="L21" s="170">
        <v>2.12210670065884</v>
      </c>
    </row>
    <row r="22" spans="1:12" ht="12.75">
      <c r="A22" s="82" t="s">
        <v>9</v>
      </c>
      <c r="B22" s="101">
        <v>2.1349672628676037</v>
      </c>
      <c r="C22" s="101">
        <v>2.4978528733295544</v>
      </c>
      <c r="D22" s="101">
        <v>-25.596823197055336</v>
      </c>
      <c r="E22" s="101">
        <v>-28.47999093798032</v>
      </c>
      <c r="F22" s="101">
        <v>-24.586604649690567</v>
      </c>
      <c r="G22" s="101">
        <v>1.93438099129641</v>
      </c>
      <c r="H22" s="101">
        <v>1.84061365095203</v>
      </c>
      <c r="I22" s="101">
        <v>70.0974111097246</v>
      </c>
      <c r="J22" s="101">
        <v>3.63334330752007</v>
      </c>
      <c r="K22" s="169">
        <v>15.490465807747</v>
      </c>
      <c r="L22" s="170">
        <v>14.1601247914458</v>
      </c>
    </row>
    <row r="23" spans="1:12" ht="12.75">
      <c r="A23" s="82" t="s">
        <v>26</v>
      </c>
      <c r="B23" s="101">
        <v>115.86461601543259</v>
      </c>
      <c r="C23" s="101">
        <v>115.86461601543259</v>
      </c>
      <c r="D23" s="102" t="s">
        <v>263</v>
      </c>
      <c r="E23" s="102" t="s">
        <v>263</v>
      </c>
      <c r="F23" s="102" t="s">
        <v>263</v>
      </c>
      <c r="G23" s="101">
        <v>1.64798810956563</v>
      </c>
      <c r="H23" s="101">
        <v>0</v>
      </c>
      <c r="I23" s="101">
        <v>111.961351198517</v>
      </c>
      <c r="J23" s="101">
        <v>4.15740104115993</v>
      </c>
      <c r="K23" s="169">
        <v>5.45835485740821</v>
      </c>
      <c r="L23" s="170">
        <v>5.31457632970398</v>
      </c>
    </row>
    <row r="24" spans="1:12" ht="12.75">
      <c r="A24" s="82" t="s">
        <v>107</v>
      </c>
      <c r="B24" s="102" t="s">
        <v>263</v>
      </c>
      <c r="C24" s="102" t="s">
        <v>263</v>
      </c>
      <c r="D24" s="102" t="s">
        <v>263</v>
      </c>
      <c r="E24" s="102" t="s">
        <v>263</v>
      </c>
      <c r="F24" s="102" t="s">
        <v>263</v>
      </c>
      <c r="G24" s="101">
        <v>4.08256307090428</v>
      </c>
      <c r="H24" s="101">
        <v>0.343989088647862</v>
      </c>
      <c r="I24" s="101">
        <v>49.1189844250944</v>
      </c>
      <c r="J24" s="101">
        <v>9.44413364503499</v>
      </c>
      <c r="K24" s="169">
        <v>38.6644622898633</v>
      </c>
      <c r="L24" s="170">
        <v>32.0915085896015</v>
      </c>
    </row>
    <row r="25" spans="1:12" ht="12.75">
      <c r="A25" s="82" t="s">
        <v>30</v>
      </c>
      <c r="B25" s="102" t="s">
        <v>263</v>
      </c>
      <c r="C25" s="102" t="s">
        <v>263</v>
      </c>
      <c r="D25" s="102" t="s">
        <v>263</v>
      </c>
      <c r="E25" s="102" t="s">
        <v>263</v>
      </c>
      <c r="F25" s="102" t="s">
        <v>263</v>
      </c>
      <c r="G25" s="101">
        <v>0</v>
      </c>
      <c r="H25" s="101">
        <v>0</v>
      </c>
      <c r="I25" s="101">
        <v>314.501272819787</v>
      </c>
      <c r="J25" s="101">
        <v>12.3908354406481</v>
      </c>
      <c r="K25" s="169">
        <v>-23.4872829769708</v>
      </c>
      <c r="L25" s="170">
        <v>-19.9726541823953</v>
      </c>
    </row>
    <row r="26" spans="1:12" ht="12.75">
      <c r="A26" s="82" t="s">
        <v>22</v>
      </c>
      <c r="B26" s="101">
        <v>102.64900258730667</v>
      </c>
      <c r="C26" s="101">
        <v>72.4408852532653</v>
      </c>
      <c r="D26" s="101">
        <v>106.59635222245998</v>
      </c>
      <c r="E26" s="101">
        <v>108.00503739941905</v>
      </c>
      <c r="F26" s="101">
        <v>97.66615245732366</v>
      </c>
      <c r="G26" s="101">
        <v>2.66349177731018</v>
      </c>
      <c r="H26" s="101">
        <v>0.107015462124932</v>
      </c>
      <c r="I26" s="101">
        <v>68.9809504451877</v>
      </c>
      <c r="J26" s="101">
        <v>8.45084951783771</v>
      </c>
      <c r="K26" s="169">
        <v>12.7164409277143</v>
      </c>
      <c r="L26" s="170">
        <v>12.7164409277143</v>
      </c>
    </row>
    <row r="27" spans="1:12" ht="12.75">
      <c r="A27" s="82" t="s">
        <v>10</v>
      </c>
      <c r="B27" s="101">
        <v>12.448670202962184</v>
      </c>
      <c r="C27" s="101">
        <v>6.660531707175019</v>
      </c>
      <c r="D27" s="101">
        <v>25.859001234159706</v>
      </c>
      <c r="E27" s="101">
        <v>16.290224049443715</v>
      </c>
      <c r="F27" s="101">
        <v>32.54967192110252</v>
      </c>
      <c r="G27" s="101">
        <v>1.86398113726335</v>
      </c>
      <c r="H27" s="101">
        <v>1.37760894516231</v>
      </c>
      <c r="I27" s="101">
        <v>40.7562751243922</v>
      </c>
      <c r="J27" s="101">
        <v>2.03198244313414</v>
      </c>
      <c r="K27" s="169">
        <v>25.3064821988973</v>
      </c>
      <c r="L27" s="170">
        <v>21.1440003126898</v>
      </c>
    </row>
    <row r="28" spans="1:12" ht="12.75">
      <c r="A28" s="82" t="s">
        <v>32</v>
      </c>
      <c r="B28" s="101">
        <v>26.614606752418148</v>
      </c>
      <c r="C28" s="101">
        <v>24.192970055624173</v>
      </c>
      <c r="D28" s="101">
        <v>55.32733607945547</v>
      </c>
      <c r="E28" s="101">
        <v>42.068379544933414</v>
      </c>
      <c r="F28" s="101">
        <v>58.69750969867089</v>
      </c>
      <c r="G28" s="101">
        <v>1.45507132461623</v>
      </c>
      <c r="H28" s="101">
        <v>0.655470518490524</v>
      </c>
      <c r="I28" s="101">
        <v>49.3748356770589</v>
      </c>
      <c r="J28" s="101">
        <v>1.58321417364023</v>
      </c>
      <c r="K28" s="169">
        <v>17.4590244099579</v>
      </c>
      <c r="L28" s="170">
        <v>15.7002780682692</v>
      </c>
    </row>
    <row r="29" spans="1:12" ht="12.75">
      <c r="A29" s="83" t="s">
        <v>21</v>
      </c>
      <c r="B29" s="103">
        <v>0.012115150471690737</v>
      </c>
      <c r="C29" s="103">
        <v>-8.35791113609703</v>
      </c>
      <c r="D29" s="103">
        <v>20.644320247072276</v>
      </c>
      <c r="E29" s="103">
        <v>19.594736393738767</v>
      </c>
      <c r="F29" s="103">
        <v>21.04470952319804</v>
      </c>
      <c r="G29" s="103">
        <v>1.72463499965906</v>
      </c>
      <c r="H29" s="103">
        <v>1.80445742143534</v>
      </c>
      <c r="I29" s="103">
        <v>65.9782225889025</v>
      </c>
      <c r="J29" s="103">
        <v>2.20175657045206</v>
      </c>
      <c r="K29" s="171">
        <v>14.3659939786633</v>
      </c>
      <c r="L29" s="172">
        <v>12.5911177814567</v>
      </c>
    </row>
    <row r="30" spans="3:12" ht="12.75">
      <c r="C30" s="104"/>
      <c r="D30" s="104"/>
      <c r="E30" s="104"/>
      <c r="F30" s="104"/>
      <c r="G30" s="104"/>
      <c r="H30" s="104"/>
      <c r="I30" s="104"/>
      <c r="J30" s="104"/>
      <c r="K30" s="173"/>
      <c r="L30" s="174"/>
    </row>
    <row r="31" spans="1:12" ht="12.75">
      <c r="A31" s="79" t="s">
        <v>154</v>
      </c>
      <c r="B31" s="99">
        <v>12.933974333729271</v>
      </c>
      <c r="C31" s="99">
        <v>14.504505068523915</v>
      </c>
      <c r="D31" s="99">
        <v>11.415872292874377</v>
      </c>
      <c r="E31" s="99">
        <v>15.562317112355972</v>
      </c>
      <c r="F31" s="99">
        <v>10.337383204201192</v>
      </c>
      <c r="G31" s="99">
        <v>1.78369189664119</v>
      </c>
      <c r="H31" s="99">
        <v>0.876688635170701</v>
      </c>
      <c r="I31" s="99">
        <v>60.4972610846844</v>
      </c>
      <c r="J31" s="99">
        <v>2.44041499462775</v>
      </c>
      <c r="K31" s="166">
        <v>22.8780157194554</v>
      </c>
      <c r="L31" s="166">
        <v>10.2700157290941</v>
      </c>
    </row>
    <row r="32" spans="3:12" ht="12.75">
      <c r="C32" s="104"/>
      <c r="D32" s="104"/>
      <c r="E32" s="104"/>
      <c r="F32" s="104"/>
      <c r="G32" s="104"/>
      <c r="H32" s="104"/>
      <c r="I32" s="104"/>
      <c r="J32" s="104"/>
      <c r="K32" s="173"/>
      <c r="L32" s="174"/>
    </row>
    <row r="33" spans="1:12" ht="12.75">
      <c r="A33" s="79" t="s">
        <v>23</v>
      </c>
      <c r="B33" s="99">
        <v>0.8303327189132789</v>
      </c>
      <c r="C33" s="99">
        <v>-0.09480494735115888</v>
      </c>
      <c r="D33" s="99">
        <v>2.392919428069236</v>
      </c>
      <c r="E33" s="99">
        <v>9.079761183658484</v>
      </c>
      <c r="F33" s="99">
        <v>-7.283623313052587</v>
      </c>
      <c r="G33" s="99">
        <v>2.37299505194054</v>
      </c>
      <c r="H33" s="99">
        <v>1.08791112952869</v>
      </c>
      <c r="I33" s="99">
        <v>46.6880437352777</v>
      </c>
      <c r="J33" s="99">
        <v>3.70648719574565</v>
      </c>
      <c r="K33" s="166">
        <v>28.5006145314962</v>
      </c>
      <c r="L33" s="166">
        <v>24.5120397853055</v>
      </c>
    </row>
    <row r="34" spans="1:12" ht="12.75">
      <c r="A34" s="82" t="s">
        <v>34</v>
      </c>
      <c r="B34" s="101">
        <v>3.584436437384443</v>
      </c>
      <c r="C34" s="101">
        <v>-1.0490432355240906</v>
      </c>
      <c r="D34" s="101">
        <v>10.681778827718318</v>
      </c>
      <c r="E34" s="101">
        <v>16.125421927806702</v>
      </c>
      <c r="F34" s="101">
        <v>6.470223429650175</v>
      </c>
      <c r="G34" s="101">
        <v>2.32283689172021</v>
      </c>
      <c r="H34" s="101">
        <v>1.26264105038168</v>
      </c>
      <c r="I34" s="101">
        <v>57.3516494684119</v>
      </c>
      <c r="J34" s="101">
        <v>2.98378684609736</v>
      </c>
      <c r="K34" s="167">
        <v>22.4585646780449</v>
      </c>
      <c r="L34" s="170">
        <v>18.6941295628771</v>
      </c>
    </row>
    <row r="35" spans="1:12" ht="12.75">
      <c r="A35" s="82" t="s">
        <v>12</v>
      </c>
      <c r="B35" s="101">
        <v>-0.6682008526459943</v>
      </c>
      <c r="C35" s="101">
        <v>2.4705412233809723</v>
      </c>
      <c r="D35" s="101">
        <v>-5.734304445166084</v>
      </c>
      <c r="E35" s="101">
        <v>5.0360166595715645</v>
      </c>
      <c r="F35" s="101">
        <v>-36.95802137998555</v>
      </c>
      <c r="G35" s="101">
        <v>2.56035700656493</v>
      </c>
      <c r="H35" s="101">
        <v>0.988494050228839</v>
      </c>
      <c r="I35" s="101">
        <v>75.9545442099591</v>
      </c>
      <c r="J35" s="101">
        <v>4.84194394866974</v>
      </c>
      <c r="K35" s="169">
        <v>11.2437661315922</v>
      </c>
      <c r="L35" s="170">
        <v>10.0191452972963</v>
      </c>
    </row>
    <row r="36" spans="1:12" ht="12.75">
      <c r="A36" s="82" t="s">
        <v>14</v>
      </c>
      <c r="B36" s="101">
        <v>-5.838251083485018</v>
      </c>
      <c r="C36" s="101">
        <v>-5.781537437435675</v>
      </c>
      <c r="D36" s="101">
        <v>-21.641011348440518</v>
      </c>
      <c r="E36" s="101">
        <v>-21.641011348440518</v>
      </c>
      <c r="F36" s="102" t="s">
        <v>263</v>
      </c>
      <c r="G36" s="101">
        <v>0.415962757652711</v>
      </c>
      <c r="H36" s="101">
        <v>0.644580643465441</v>
      </c>
      <c r="I36" s="101">
        <v>29.5743211270904</v>
      </c>
      <c r="J36" s="101">
        <v>3.88648418816542</v>
      </c>
      <c r="K36" s="169">
        <v>0.938534854147202</v>
      </c>
      <c r="L36" s="170">
        <v>0.938534854147202</v>
      </c>
    </row>
    <row r="37" spans="1:12" ht="12.75">
      <c r="A37" s="82" t="s">
        <v>13</v>
      </c>
      <c r="B37" s="101">
        <v>1.630514099551849</v>
      </c>
      <c r="C37" s="101">
        <v>1.6754847554880907</v>
      </c>
      <c r="D37" s="101">
        <v>-40.16707510567825</v>
      </c>
      <c r="E37" s="101">
        <v>-40.16707510567825</v>
      </c>
      <c r="F37" s="102" t="s">
        <v>263</v>
      </c>
      <c r="G37" s="101">
        <v>0.914188139967502</v>
      </c>
      <c r="H37" s="101">
        <v>0</v>
      </c>
      <c r="I37" s="101">
        <v>102.397305420533</v>
      </c>
      <c r="J37" s="101">
        <v>6.51407954416131</v>
      </c>
      <c r="K37" s="169">
        <v>-0.00707675974031709</v>
      </c>
      <c r="L37" s="170">
        <v>-0.0725122152564393</v>
      </c>
    </row>
    <row r="38" spans="1:12" ht="12.75">
      <c r="A38" s="82" t="s">
        <v>35</v>
      </c>
      <c r="B38" s="101">
        <v>-11.75873256026329</v>
      </c>
      <c r="C38" s="101">
        <v>-11.75873256026329</v>
      </c>
      <c r="D38" s="102" t="s">
        <v>263</v>
      </c>
      <c r="E38" s="102" t="s">
        <v>263</v>
      </c>
      <c r="F38" s="102" t="s">
        <v>263</v>
      </c>
      <c r="G38" s="101">
        <v>0.375606831592942</v>
      </c>
      <c r="H38" s="101">
        <v>0</v>
      </c>
      <c r="I38" s="101">
        <v>37.1643760865475</v>
      </c>
      <c r="J38" s="101">
        <v>2.19009729419794</v>
      </c>
      <c r="K38" s="169">
        <v>16.4025560412703</v>
      </c>
      <c r="L38" s="170">
        <v>16.4025560412703</v>
      </c>
    </row>
    <row r="39" spans="1:12" ht="12.75">
      <c r="A39" s="83" t="s">
        <v>33</v>
      </c>
      <c r="B39" s="103">
        <v>-92.81163096246668</v>
      </c>
      <c r="C39" s="103">
        <v>-92.81163096246668</v>
      </c>
      <c r="D39" s="105" t="s">
        <v>263</v>
      </c>
      <c r="E39" s="105" t="s">
        <v>263</v>
      </c>
      <c r="F39" s="105" t="s">
        <v>263</v>
      </c>
      <c r="G39" s="103">
        <v>0.29331998760754</v>
      </c>
      <c r="H39" s="103">
        <v>0</v>
      </c>
      <c r="I39" s="103">
        <v>5.11914481499272</v>
      </c>
      <c r="J39" s="103">
        <v>1.190400745689</v>
      </c>
      <c r="K39" s="171">
        <v>75.4831847767718</v>
      </c>
      <c r="L39" s="172">
        <v>64.5186962061653</v>
      </c>
    </row>
    <row r="40" spans="3:12" ht="12.75">
      <c r="C40" s="104"/>
      <c r="D40" s="104"/>
      <c r="E40" s="104"/>
      <c r="F40" s="104"/>
      <c r="G40" s="104"/>
      <c r="H40" s="104"/>
      <c r="I40" s="104"/>
      <c r="J40" s="104"/>
      <c r="K40" s="173"/>
      <c r="L40" s="174"/>
    </row>
    <row r="41" spans="1:12" ht="12.75">
      <c r="A41" s="78" t="s">
        <v>15</v>
      </c>
      <c r="B41" s="99">
        <v>12.902465120934483</v>
      </c>
      <c r="C41" s="99">
        <v>9.952373790245728</v>
      </c>
      <c r="D41" s="99">
        <v>19.818169209296485</v>
      </c>
      <c r="E41" s="99">
        <v>18.852598769519606</v>
      </c>
      <c r="F41" s="99">
        <v>20.392920630561292</v>
      </c>
      <c r="G41" s="99">
        <v>1.91944870567567</v>
      </c>
      <c r="H41" s="99">
        <v>1.200005120792</v>
      </c>
      <c r="I41" s="99">
        <v>50.6374932471999</v>
      </c>
      <c r="J41" s="99">
        <v>2.31023218648548</v>
      </c>
      <c r="K41" s="166">
        <v>22.1847096511771</v>
      </c>
      <c r="L41" s="166">
        <v>18.3243456039096</v>
      </c>
    </row>
    <row r="42" spans="1:12" ht="12.75">
      <c r="A42" s="86"/>
      <c r="B42" s="87"/>
      <c r="C42" s="106"/>
      <c r="D42" s="106"/>
      <c r="E42" s="106"/>
      <c r="F42" s="106"/>
      <c r="G42" s="106"/>
      <c r="H42" s="106"/>
      <c r="I42" s="106"/>
      <c r="J42" s="106"/>
      <c r="K42" s="173"/>
      <c r="L42" s="175"/>
    </row>
    <row r="43" spans="1:12" ht="12.75">
      <c r="A43" s="86" t="s">
        <v>27</v>
      </c>
      <c r="B43" s="87"/>
      <c r="C43" s="106"/>
      <c r="D43" s="106"/>
      <c r="E43" s="106"/>
      <c r="F43" s="106"/>
      <c r="G43" s="106"/>
      <c r="H43" s="106"/>
      <c r="I43" s="106"/>
      <c r="J43" s="106"/>
      <c r="K43" s="173"/>
      <c r="L43" s="175"/>
    </row>
    <row r="44" spans="1:12" ht="12.75">
      <c r="A44" s="88" t="s">
        <v>147</v>
      </c>
      <c r="B44" s="107">
        <v>15.525782062424703</v>
      </c>
      <c r="C44" s="107">
        <v>14.45760358214521</v>
      </c>
      <c r="D44" s="107">
        <v>15.565620796814253</v>
      </c>
      <c r="E44" s="107">
        <v>15.565620796814253</v>
      </c>
      <c r="F44" s="108" t="s">
        <v>263</v>
      </c>
      <c r="G44" s="107">
        <v>6.86697394619812</v>
      </c>
      <c r="H44" s="107">
        <v>0.504533114426344</v>
      </c>
      <c r="I44" s="107">
        <v>53.0723657205037</v>
      </c>
      <c r="J44" s="107">
        <v>11.85388528771</v>
      </c>
      <c r="K44" s="167">
        <v>35.3518154000964</v>
      </c>
      <c r="L44" s="176">
        <v>28.9802523568733</v>
      </c>
    </row>
    <row r="45" spans="1:12" ht="12.75">
      <c r="A45" s="88" t="s">
        <v>148</v>
      </c>
      <c r="B45" s="107">
        <v>19.27078469807115</v>
      </c>
      <c r="C45" s="107">
        <v>16.745766828499868</v>
      </c>
      <c r="D45" s="107">
        <v>27.496164241958986</v>
      </c>
      <c r="E45" s="107">
        <v>19.039357049784464</v>
      </c>
      <c r="F45" s="107">
        <v>32.42257535011145</v>
      </c>
      <c r="G45" s="107">
        <v>1.66559547049323</v>
      </c>
      <c r="H45" s="107">
        <v>1.18901818487133</v>
      </c>
      <c r="I45" s="107">
        <v>57.077403825124</v>
      </c>
      <c r="J45" s="107">
        <v>2.12932014091799</v>
      </c>
      <c r="K45" s="176">
        <v>21.4826475050773</v>
      </c>
      <c r="L45" s="176">
        <v>18.402655312938</v>
      </c>
    </row>
    <row r="46" ht="12.75">
      <c r="A46" s="45"/>
    </row>
    <row r="47" spans="1:12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109"/>
      <c r="L47" s="109"/>
    </row>
    <row r="48" ht="12.75">
      <c r="A48" s="3" t="s">
        <v>140</v>
      </c>
    </row>
    <row r="49" ht="12.75">
      <c r="A49" s="3" t="s">
        <v>245</v>
      </c>
    </row>
    <row r="50" ht="12.75">
      <c r="A50" s="3" t="s">
        <v>149</v>
      </c>
    </row>
    <row r="51" ht="12.75">
      <c r="A51" s="3" t="s">
        <v>152</v>
      </c>
    </row>
    <row r="52" ht="12.75">
      <c r="A52" s="3" t="s">
        <v>153</v>
      </c>
    </row>
    <row r="54" ht="12.75">
      <c r="A54" s="3" t="s">
        <v>103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110" t="s">
        <v>155</v>
      </c>
      <c r="G1" s="114" t="s">
        <v>162</v>
      </c>
    </row>
    <row r="2" ht="12.75">
      <c r="A2" s="110" t="s">
        <v>156</v>
      </c>
    </row>
    <row r="3" ht="12.75">
      <c r="A3" s="110"/>
    </row>
    <row r="4" ht="12.75">
      <c r="A4" s="110"/>
    </row>
    <row r="5" ht="12.75">
      <c r="A5" s="110"/>
    </row>
    <row r="6" ht="12.75">
      <c r="A6" s="110"/>
    </row>
    <row r="7" ht="12.75">
      <c r="A7" s="110"/>
    </row>
    <row r="8" ht="15.75">
      <c r="A8" s="111" t="s">
        <v>114</v>
      </c>
    </row>
    <row r="10" spans="1:2" ht="12.75">
      <c r="A10" s="116" t="s">
        <v>166</v>
      </c>
      <c r="B10" s="116" t="s">
        <v>167</v>
      </c>
    </row>
    <row r="11" spans="1:2" ht="15.75">
      <c r="A11" s="115"/>
      <c r="B11" s="115"/>
    </row>
    <row r="12" spans="1:2" ht="12.75">
      <c r="A12" s="188" t="s">
        <v>87</v>
      </c>
      <c r="B12" s="189"/>
    </row>
    <row r="13" spans="1:2" ht="12.75">
      <c r="A13" s="117"/>
      <c r="B13" s="118"/>
    </row>
    <row r="14" spans="1:2" ht="12.75">
      <c r="A14" s="119" t="s">
        <v>87</v>
      </c>
      <c r="B14" s="120" t="s">
        <v>255</v>
      </c>
    </row>
    <row r="16" spans="1:2" ht="12.75">
      <c r="A16" s="188" t="s">
        <v>248</v>
      </c>
      <c r="B16" s="189"/>
    </row>
    <row r="17" spans="1:2" ht="12.75">
      <c r="A17" s="121"/>
      <c r="B17" s="122"/>
    </row>
    <row r="18" spans="1:2" ht="12.75">
      <c r="A18" s="123" t="s">
        <v>168</v>
      </c>
      <c r="B18" s="124">
        <v>1110</v>
      </c>
    </row>
    <row r="19" spans="1:2" ht="12.75">
      <c r="A19" s="123" t="str">
        <f>"+ Ptmos. comerciales (a más de 1 año)"</f>
        <v>+ Ptmos. comerciales (a más de 1 año)</v>
      </c>
      <c r="B19" s="125">
        <v>1205</v>
      </c>
    </row>
    <row r="20" spans="1:2" ht="12.75">
      <c r="A20" s="123" t="str">
        <f>"+ Ptmos. hipot. endosables para fines generales"</f>
        <v>+ Ptmos. hipot. endosables para fines generales</v>
      </c>
      <c r="B20" s="125">
        <v>1248</v>
      </c>
    </row>
    <row r="21" spans="1:2" ht="12.75">
      <c r="A21" s="123" t="str">
        <f>"+ Ptmos. fines generales en letras de crédito"</f>
        <v>+ Ptmos. fines generales en letras de crédito</v>
      </c>
      <c r="B21" s="125">
        <v>1305</v>
      </c>
    </row>
    <row r="22" spans="1:2" ht="12.75">
      <c r="A22" s="123" t="str">
        <f>"+ Deudores por boletas de garantía y consig. judic. (hasta 1 año)"</f>
        <v>+ Deudores por boletas de garantía y consig. judic. (hasta 1 año)</v>
      </c>
      <c r="B22" s="125">
        <v>1605</v>
      </c>
    </row>
    <row r="23" spans="1:2" ht="12.75">
      <c r="A23" s="123" t="str">
        <f>"+ Deudores por avales y fianzas (hasta 1 año)"</f>
        <v>+ Deudores por avales y fianzas (hasta 1 año)</v>
      </c>
      <c r="B23" s="125">
        <v>1610</v>
      </c>
    </row>
    <row r="24" spans="1:2" ht="12.75">
      <c r="A24" s="123" t="str">
        <f>"+ Deudores por boletas de garantía y consig. judic. (a más de 1 año)"</f>
        <v>+ Deudores por boletas de garantía y consig. judic. (a más de 1 año)</v>
      </c>
      <c r="B24" s="125">
        <v>1655</v>
      </c>
    </row>
    <row r="25" spans="1:2" ht="12.75">
      <c r="A25" s="123" t="str">
        <f>"+ Deudores por avales y fianzas (a más de 1 año)"</f>
        <v>+ Deudores por avales y fianzas (a más de 1 año)</v>
      </c>
      <c r="B25" s="125">
        <v>1660</v>
      </c>
    </row>
    <row r="26" spans="1:2" ht="12.75">
      <c r="A26" s="123" t="str">
        <f>"+ Créditos comerciales vencidos"</f>
        <v>+ Créditos comerciales vencidos</v>
      </c>
      <c r="B26" s="125">
        <v>1401</v>
      </c>
    </row>
    <row r="27" spans="1:2" ht="12.75">
      <c r="A27" s="123" t="str">
        <f>"+ Operaciones de factoraje"</f>
        <v>+ Operaciones de factoraje</v>
      </c>
      <c r="B27" s="125">
        <v>1135</v>
      </c>
    </row>
    <row r="28" spans="1:2" ht="12.75">
      <c r="A28" s="123" t="str">
        <f>"+ Operaciones de factoraje (vencidas)"</f>
        <v>+ Operaciones de factoraje (vencidas)</v>
      </c>
      <c r="B28" s="125">
        <v>1418</v>
      </c>
    </row>
    <row r="29" spans="1:2" ht="12.75">
      <c r="A29" s="123" t="str">
        <f>"+ Contratos de leasing comercial"</f>
        <v>+ Contratos de leasing comercial</v>
      </c>
      <c r="B29" s="125" t="s">
        <v>169</v>
      </c>
    </row>
    <row r="30" spans="1:2" ht="12.75">
      <c r="A30" s="126" t="str">
        <f>"+ Intereses diferidos leasing comercial"</f>
        <v>+ Intereses diferidos leasing comercial</v>
      </c>
      <c r="B30" s="127" t="s">
        <v>170</v>
      </c>
    </row>
    <row r="31" spans="1:2" ht="12.75">
      <c r="A31" s="126" t="str">
        <f>"+ IVA diferido leasing comercial"</f>
        <v>+ IVA diferido leasing comercial</v>
      </c>
      <c r="B31" s="127" t="s">
        <v>171</v>
      </c>
    </row>
    <row r="32" spans="1:2" ht="12.75">
      <c r="A32" s="123" t="str">
        <f>"+ Contratos de leasing comercial vencidos"</f>
        <v>+ Contratos de leasing comercial vencidos</v>
      </c>
      <c r="B32" s="125" t="s">
        <v>172</v>
      </c>
    </row>
    <row r="33" spans="1:2" ht="12.75">
      <c r="A33" s="123" t="str">
        <f>"+ Otros saldos de la partida 1350"</f>
        <v>+ Otros saldos de la partida 1350</v>
      </c>
      <c r="B33" s="128" t="s">
        <v>173</v>
      </c>
    </row>
    <row r="34" spans="1:2" ht="12.75">
      <c r="A34" s="123" t="str">
        <f>"+ Varios deudores"</f>
        <v>+ Varios deudores</v>
      </c>
      <c r="B34" s="125">
        <v>1140</v>
      </c>
    </row>
    <row r="35" spans="1:2" ht="12.75">
      <c r="A35" s="123" t="str">
        <f>"+ Ptmos. productivos reprogramados"</f>
        <v>+ Ptmos. productivos reprogramados</v>
      </c>
      <c r="B35" s="125">
        <v>1235</v>
      </c>
    </row>
    <row r="36" spans="1:2" ht="12.75">
      <c r="A36" s="123" t="s">
        <v>174</v>
      </c>
      <c r="B36" s="125">
        <v>1245</v>
      </c>
    </row>
    <row r="37" spans="1:2" ht="12.75">
      <c r="A37" s="123" t="str">
        <f>"+ Dividendos por cobrar"</f>
        <v>+ Dividendos por cobrar</v>
      </c>
      <c r="B37" s="125">
        <v>1315</v>
      </c>
    </row>
    <row r="38" spans="1:2" ht="12.75">
      <c r="A38" s="123" t="str">
        <f>"+ Créditos importación (hasta 1 año)"</f>
        <v>+ Créditos importación (hasta 1 año)</v>
      </c>
      <c r="B38" s="125">
        <v>1125</v>
      </c>
    </row>
    <row r="39" spans="1:2" ht="12.75">
      <c r="A39" s="123" t="str">
        <f>"+ Créditos exportación (hasta 1 año)"</f>
        <v>+ Créditos exportación (hasta 1 año)</v>
      </c>
      <c r="B39" s="125">
        <v>1130</v>
      </c>
    </row>
    <row r="40" spans="1:2" ht="12.75">
      <c r="A40" s="123" t="str">
        <f>"+ Créditos importación (a más de 1 año)"</f>
        <v>+ Créditos importación (a más de 1 año)</v>
      </c>
      <c r="B40" s="125">
        <v>1220</v>
      </c>
    </row>
    <row r="41" spans="1:2" ht="12.75">
      <c r="A41" s="123" t="str">
        <f>"+ Créditos exportación (a más de 1 año)"</f>
        <v>+ Créditos exportación (a más de 1 año)</v>
      </c>
      <c r="B41" s="125">
        <v>1225</v>
      </c>
    </row>
    <row r="42" spans="1:2" ht="12.75">
      <c r="A42" s="123" t="str">
        <f>"+ Deudores por carta de crédito simples o documentarias"</f>
        <v>+ Deudores por carta de crédito simples o documentarias</v>
      </c>
      <c r="B42" s="125">
        <v>1615</v>
      </c>
    </row>
    <row r="43" spans="1:2" ht="12.75">
      <c r="A43" s="123" t="str">
        <f>"+ Deudores por carta crédito del exterior confirmadas"</f>
        <v>+ Deudores por carta crédito del exterior confirmadas</v>
      </c>
      <c r="B43" s="125">
        <v>1620</v>
      </c>
    </row>
    <row r="44" spans="1:2" ht="12.75">
      <c r="A44" s="123" t="str">
        <f>"+ Ptmos. a instituciones financieras (hasta 1 año)"</f>
        <v>+ Ptmos. a instituciones financieras (hasta 1 año)</v>
      </c>
      <c r="B44" s="125">
        <v>1120</v>
      </c>
    </row>
    <row r="45" spans="1:2" ht="12.75">
      <c r="A45" s="119" t="str">
        <f>"+ Ptmos. a instituciones financieras (a más de 1 año)"</f>
        <v>+ Ptmos. a instituciones financieras (a más de 1 año)</v>
      </c>
      <c r="B45" s="129">
        <v>1215</v>
      </c>
    </row>
    <row r="47" spans="1:2" ht="12.75">
      <c r="A47" s="188" t="s">
        <v>175</v>
      </c>
      <c r="B47" s="189"/>
    </row>
    <row r="48" spans="1:2" ht="12.75">
      <c r="A48" s="122"/>
      <c r="B48" s="122"/>
    </row>
    <row r="49" spans="1:2" ht="12.75">
      <c r="A49" s="126" t="s">
        <v>168</v>
      </c>
      <c r="B49" s="124">
        <v>1110</v>
      </c>
    </row>
    <row r="50" spans="1:2" ht="12.75">
      <c r="A50" s="123" t="str">
        <f>"+ Ptmos. comerciales (a más de 1 año)"</f>
        <v>+ Ptmos. comerciales (a más de 1 año)</v>
      </c>
      <c r="B50" s="125">
        <v>1205</v>
      </c>
    </row>
    <row r="51" spans="1:2" ht="12.75">
      <c r="A51" s="123" t="str">
        <f>"+ Ptmos. hipot. endosables para fines generales"</f>
        <v>+ Ptmos. hipot. endosables para fines generales</v>
      </c>
      <c r="B51" s="125">
        <v>1248</v>
      </c>
    </row>
    <row r="52" spans="1:2" ht="12.75">
      <c r="A52" s="126" t="str">
        <f>"+ Ptmos. fines generales en letras de crédito"</f>
        <v>+ Ptmos. fines generales en letras de crédito</v>
      </c>
      <c r="B52" s="125">
        <v>1305</v>
      </c>
    </row>
    <row r="53" spans="1:2" ht="12.75">
      <c r="A53" s="123" t="str">
        <f>"+ Deudores por boletas de garantía y consig. judic. (hasta 1 año)"</f>
        <v>+ Deudores por boletas de garantía y consig. judic. (hasta 1 año)</v>
      </c>
      <c r="B53" s="125">
        <v>1605</v>
      </c>
    </row>
    <row r="54" spans="1:2" ht="12.75">
      <c r="A54" s="123" t="str">
        <f>"+ Deudores por avales y fianzas (hasta 1 año)"</f>
        <v>+ Deudores por avales y fianzas (hasta 1 año)</v>
      </c>
      <c r="B54" s="125">
        <v>1610</v>
      </c>
    </row>
    <row r="55" spans="1:2" ht="12.75">
      <c r="A55" s="123" t="str">
        <f>"+ Deudores por boletas de garantía y consig. judic. (a más de 1 año)"</f>
        <v>+ Deudores por boletas de garantía y consig. judic. (a más de 1 año)</v>
      </c>
      <c r="B55" s="125">
        <v>1655</v>
      </c>
    </row>
    <row r="56" spans="1:2" ht="12.75">
      <c r="A56" s="123" t="str">
        <f>"+ Deudores por avales y fianzas (a más de 1 año)"</f>
        <v>+ Deudores por avales y fianzas (a más de 1 año)</v>
      </c>
      <c r="B56" s="125">
        <v>1660</v>
      </c>
    </row>
    <row r="57" spans="1:2" ht="12.75">
      <c r="A57" s="126" t="str">
        <f>"+ Créditos comerciales vencidos"</f>
        <v>+ Créditos comerciales vencidos</v>
      </c>
      <c r="B57" s="125">
        <v>1401</v>
      </c>
    </row>
    <row r="58" spans="1:2" ht="12.75">
      <c r="A58" s="126" t="str">
        <f>"+ Operaciones de factoraje"</f>
        <v>+ Operaciones de factoraje</v>
      </c>
      <c r="B58" s="125">
        <v>1135</v>
      </c>
    </row>
    <row r="59" spans="1:2" ht="12.75">
      <c r="A59" s="126" t="str">
        <f>"+ Operaciones de factoraje (vencidas)"</f>
        <v>+ Operaciones de factoraje (vencidas)</v>
      </c>
      <c r="B59" s="125">
        <v>1418</v>
      </c>
    </row>
    <row r="60" spans="1:2" ht="12.75">
      <c r="A60" s="126" t="str">
        <f>"+ Contratos de leasing comercial"</f>
        <v>+ Contratos de leasing comercial</v>
      </c>
      <c r="B60" s="125" t="s">
        <v>169</v>
      </c>
    </row>
    <row r="61" spans="1:2" ht="12.75">
      <c r="A61" s="126" t="str">
        <f>"+ Intereses diferidos leasing comercial"</f>
        <v>+ Intereses diferidos leasing comercial</v>
      </c>
      <c r="B61" s="127" t="s">
        <v>170</v>
      </c>
    </row>
    <row r="62" spans="1:2" ht="12.75">
      <c r="A62" s="126" t="str">
        <f>"+ IVA diferido leasing comercial"</f>
        <v>+ IVA diferido leasing comercial</v>
      </c>
      <c r="B62" s="127" t="s">
        <v>171</v>
      </c>
    </row>
    <row r="63" spans="1:2" ht="12.75">
      <c r="A63" s="126" t="str">
        <f>"+ Contratos de leasing comercial vencidos"</f>
        <v>+ Contratos de leasing comercial vencidos</v>
      </c>
      <c r="B63" s="125" t="s">
        <v>172</v>
      </c>
    </row>
    <row r="64" spans="1:2" ht="12.75">
      <c r="A64" s="126" t="str">
        <f>"+ Otros saldos de la partida 1350"</f>
        <v>+ Otros saldos de la partida 1350</v>
      </c>
      <c r="B64" s="128" t="s">
        <v>173</v>
      </c>
    </row>
    <row r="65" spans="1:2" ht="12.75">
      <c r="A65" s="126" t="str">
        <f>"+ Varios deudores"</f>
        <v>+ Varios deudores</v>
      </c>
      <c r="B65" s="125">
        <v>1140</v>
      </c>
    </row>
    <row r="66" spans="1:2" ht="12.75">
      <c r="A66" s="126" t="str">
        <f>"+ Ptmos. productivos reprogramados"</f>
        <v>+ Ptmos. productivos reprogramados</v>
      </c>
      <c r="B66" s="125">
        <v>1235</v>
      </c>
    </row>
    <row r="67" spans="1:2" ht="12.75">
      <c r="A67" s="126" t="s">
        <v>174</v>
      </c>
      <c r="B67" s="125">
        <v>1245</v>
      </c>
    </row>
    <row r="68" spans="1:2" ht="12.75">
      <c r="A68" s="130" t="str">
        <f>"+ Dividendos por cobrar"</f>
        <v>+ Dividendos por cobrar</v>
      </c>
      <c r="B68" s="129">
        <v>1315</v>
      </c>
    </row>
    <row r="70" spans="1:2" ht="12.75">
      <c r="A70" s="188" t="s">
        <v>176</v>
      </c>
      <c r="B70" s="189"/>
    </row>
    <row r="71" spans="1:2" ht="12.75">
      <c r="A71" s="122"/>
      <c r="B71" s="122"/>
    </row>
    <row r="72" spans="1:2" ht="12.75">
      <c r="A72" s="126" t="s">
        <v>177</v>
      </c>
      <c r="B72" s="128">
        <v>1125</v>
      </c>
    </row>
    <row r="73" spans="1:2" ht="12.75">
      <c r="A73" s="126" t="str">
        <f>"+ Créditos exportación (hasta 1 año)"</f>
        <v>+ Créditos exportación (hasta 1 año)</v>
      </c>
      <c r="B73" s="125">
        <v>1130</v>
      </c>
    </row>
    <row r="74" spans="1:2" ht="12.75">
      <c r="A74" s="126" t="str">
        <f>"+ Créditos importación (a más de 1 año)"</f>
        <v>+ Créditos importación (a más de 1 año)</v>
      </c>
      <c r="B74" s="125">
        <v>1220</v>
      </c>
    </row>
    <row r="75" spans="1:2" ht="12.75">
      <c r="A75" s="126" t="str">
        <f>"+ Créditos exportación (a más de 1 año)"</f>
        <v>+ Créditos exportación (a más de 1 año)</v>
      </c>
      <c r="B75" s="125">
        <v>1225</v>
      </c>
    </row>
    <row r="76" spans="1:2" ht="12.75">
      <c r="A76" s="126" t="str">
        <f>"+ Deudores por carta de crédito simples o documentarias"</f>
        <v>+ Deudores por carta de crédito simples o documentarias</v>
      </c>
      <c r="B76" s="125">
        <v>1615</v>
      </c>
    </row>
    <row r="77" spans="1:2" ht="12.75">
      <c r="A77" s="130" t="str">
        <f>"+ Deudores por carta crédito del exterior confirmadas"</f>
        <v>+ Deudores por carta crédito del exterior confirmadas</v>
      </c>
      <c r="B77" s="129">
        <v>1620</v>
      </c>
    </row>
    <row r="79" spans="1:2" ht="12.75">
      <c r="A79" s="188" t="s">
        <v>178</v>
      </c>
      <c r="B79" s="189"/>
    </row>
    <row r="80" spans="1:2" ht="12.75">
      <c r="A80" s="121"/>
      <c r="B80" s="122"/>
    </row>
    <row r="81" spans="1:2" ht="12.75">
      <c r="A81" s="123" t="s">
        <v>179</v>
      </c>
      <c r="B81" s="124">
        <v>1120</v>
      </c>
    </row>
    <row r="82" spans="1:2" ht="12.75">
      <c r="A82" s="119" t="str">
        <f>"+ Ptmos. a instituciones Financieras (a más de 1 año)"</f>
        <v>+ Ptmos. a instituciones Financieras (a más de 1 año)</v>
      </c>
      <c r="B82" s="129">
        <v>1215</v>
      </c>
    </row>
    <row r="84" spans="1:2" ht="12.75">
      <c r="A84" s="188" t="s">
        <v>180</v>
      </c>
      <c r="B84" s="189"/>
    </row>
    <row r="85" spans="1:2" ht="12.75">
      <c r="A85" s="121"/>
      <c r="B85" s="122"/>
    </row>
    <row r="86" spans="1:2" ht="12.75">
      <c r="A86" s="123" t="s">
        <v>181</v>
      </c>
      <c r="B86" s="128">
        <v>1115</v>
      </c>
    </row>
    <row r="87" spans="1:2" ht="12.75">
      <c r="A87" s="123" t="str">
        <f>"+ Ptmos. de consumo (a más de 1 año)"</f>
        <v>+ Ptmos. de consumo (a más de 1 año)</v>
      </c>
      <c r="B87" s="125">
        <v>1210</v>
      </c>
    </row>
    <row r="88" spans="1:2" ht="12.75">
      <c r="A88" s="123" t="str">
        <f>"+ Créditos de consumo vencidos"</f>
        <v>+ Créditos de consumo vencidos</v>
      </c>
      <c r="B88" s="125">
        <v>1411</v>
      </c>
    </row>
    <row r="89" spans="1:2" ht="12.75">
      <c r="A89" s="123" t="str">
        <f>"+ Contratos de leasing de consumo"</f>
        <v>+ Contratos de leasing de consumo</v>
      </c>
      <c r="B89" s="125" t="s">
        <v>182</v>
      </c>
    </row>
    <row r="90" spans="1:2" ht="12.75">
      <c r="A90" s="126" t="str">
        <f>"+ Intereses diferidos leasing  de consumo"</f>
        <v>+ Intereses diferidos leasing  de consumo</v>
      </c>
      <c r="B90" s="127" t="s">
        <v>183</v>
      </c>
    </row>
    <row r="91" spans="1:2" ht="12.75">
      <c r="A91" s="126" t="str">
        <f>"+ IVA diferido leasing de consumo"</f>
        <v>+ IVA diferido leasing de consumo</v>
      </c>
      <c r="B91" s="127" t="s">
        <v>184</v>
      </c>
    </row>
    <row r="92" spans="1:2" ht="12.75">
      <c r="A92" s="123" t="str">
        <f>"+ Contratos de leasing consumo vencidos"</f>
        <v>+ Contratos de leasing consumo vencidos</v>
      </c>
      <c r="B92" s="125" t="s">
        <v>185</v>
      </c>
    </row>
    <row r="93" spans="1:2" ht="12.75">
      <c r="A93" s="123" t="str">
        <f>"+ Créditos hipotecarios para vivienda"</f>
        <v>+ Créditos hipotecarios para vivienda</v>
      </c>
      <c r="B93" s="125">
        <v>1246</v>
      </c>
    </row>
    <row r="94" spans="1:2" ht="12.75">
      <c r="A94" s="123" t="s">
        <v>186</v>
      </c>
      <c r="B94" s="125">
        <v>1247</v>
      </c>
    </row>
    <row r="95" spans="1:2" ht="12.75">
      <c r="A95" s="123" t="str">
        <f>"+ Ptmos. para vivienda en letras de crédito"</f>
        <v>+ Ptmos. para vivienda en letras de crédito</v>
      </c>
      <c r="B95" s="125">
        <v>1310</v>
      </c>
    </row>
    <row r="96" spans="1:2" ht="12.75">
      <c r="A96" s="123" t="str">
        <f>"+ Créditos hipotecarios para vivienda vencidos"</f>
        <v>+ Créditos hipotecarios para vivienda vencidos</v>
      </c>
      <c r="B96" s="125">
        <v>1416</v>
      </c>
    </row>
    <row r="97" spans="1:2" ht="12.75">
      <c r="A97" s="123" t="str">
        <f>"+ Contratos de leasing de vivienda"</f>
        <v>+ Contratos de leasing de vivienda</v>
      </c>
      <c r="B97" s="125" t="s">
        <v>187</v>
      </c>
    </row>
    <row r="98" spans="1:2" ht="12.75">
      <c r="A98" s="126" t="str">
        <f>"+ Intereses diferidos leasing de vivienda"</f>
        <v>+ Intereses diferidos leasing de vivienda</v>
      </c>
      <c r="B98" s="127" t="s">
        <v>188</v>
      </c>
    </row>
    <row r="99" spans="1:2" ht="12.75">
      <c r="A99" s="126" t="str">
        <f>"+ IVA diferido leasing de vivienda"</f>
        <v>+ IVA diferido leasing de vivienda</v>
      </c>
      <c r="B99" s="127" t="s">
        <v>189</v>
      </c>
    </row>
    <row r="100" spans="1:2" ht="12.75">
      <c r="A100" s="119" t="str">
        <f>"+ Contratos de leasing de vivienda vencidos"</f>
        <v>+ Contratos de leasing de vivienda vencidos</v>
      </c>
      <c r="B100" s="129" t="s">
        <v>190</v>
      </c>
    </row>
    <row r="102" spans="1:2" ht="12.75">
      <c r="A102" s="188" t="s">
        <v>249</v>
      </c>
      <c r="B102" s="189"/>
    </row>
    <row r="103" spans="1:2" ht="12.75">
      <c r="A103" s="122"/>
      <c r="B103" s="122"/>
    </row>
    <row r="104" spans="1:2" ht="12.75">
      <c r="A104" s="126" t="s">
        <v>181</v>
      </c>
      <c r="B104" s="128">
        <v>1115</v>
      </c>
    </row>
    <row r="105" spans="1:2" ht="12.75">
      <c r="A105" s="126" t="str">
        <f>"+ Ptmos. de consumo (a más de 1 año)"</f>
        <v>+ Ptmos. de consumo (a más de 1 año)</v>
      </c>
      <c r="B105" s="125">
        <v>1210</v>
      </c>
    </row>
    <row r="106" spans="1:2" ht="12.75">
      <c r="A106" s="126" t="str">
        <f>"+ Créditos de consumo vencidos"</f>
        <v>+ Créditos de consumo vencidos</v>
      </c>
      <c r="B106" s="125">
        <v>1411</v>
      </c>
    </row>
    <row r="107" spans="1:2" ht="12.75">
      <c r="A107" s="126" t="str">
        <f>"+ Contratos de leasing de consumo"</f>
        <v>+ Contratos de leasing de consumo</v>
      </c>
      <c r="B107" s="125" t="s">
        <v>182</v>
      </c>
    </row>
    <row r="108" spans="1:2" ht="12.75">
      <c r="A108" s="126" t="str">
        <f>"+ Intereses diferidos leasing  de consumo"</f>
        <v>+ Intereses diferidos leasing  de consumo</v>
      </c>
      <c r="B108" s="128" t="s">
        <v>183</v>
      </c>
    </row>
    <row r="109" spans="1:2" ht="12.75">
      <c r="A109" s="126" t="str">
        <f>"+ IVA diferido leasing de consumo"</f>
        <v>+ IVA diferido leasing de consumo</v>
      </c>
      <c r="B109" s="128" t="s">
        <v>184</v>
      </c>
    </row>
    <row r="110" spans="1:2" ht="12.75">
      <c r="A110" s="130" t="str">
        <f>"+ Contratos de leasing consumo vencidos"</f>
        <v>+ Contratos de leasing consumo vencidos</v>
      </c>
      <c r="B110" s="129" t="s">
        <v>185</v>
      </c>
    </row>
    <row r="112" spans="1:2" ht="12.75">
      <c r="A112" s="188" t="s">
        <v>250</v>
      </c>
      <c r="B112" s="189"/>
    </row>
    <row r="113" spans="1:2" ht="12.75">
      <c r="A113" s="121"/>
      <c r="B113" s="122"/>
    </row>
    <row r="114" spans="1:2" ht="12.75">
      <c r="A114" s="123" t="s">
        <v>191</v>
      </c>
      <c r="B114" s="128">
        <v>1246</v>
      </c>
    </row>
    <row r="115" spans="1:2" ht="12.75">
      <c r="A115" s="123" t="s">
        <v>186</v>
      </c>
      <c r="B115" s="125">
        <v>1247</v>
      </c>
    </row>
    <row r="116" spans="1:2" ht="12.75">
      <c r="A116" s="123" t="str">
        <f>"+ Ptmos. para vivienda en letras de crédito"</f>
        <v>+ Ptmos. para vivienda en letras de crédito</v>
      </c>
      <c r="B116" s="125">
        <v>1310</v>
      </c>
    </row>
    <row r="117" spans="1:2" ht="12.75">
      <c r="A117" s="123" t="str">
        <f>"+ Créditos hipotecarios para vivienda vencidos"</f>
        <v>+ Créditos hipotecarios para vivienda vencidos</v>
      </c>
      <c r="B117" s="125">
        <v>1416</v>
      </c>
    </row>
    <row r="118" spans="1:2" ht="12.75">
      <c r="A118" s="123" t="str">
        <f>"+ Contratos de leasing de vivienda"</f>
        <v>+ Contratos de leasing de vivienda</v>
      </c>
      <c r="B118" s="125" t="s">
        <v>187</v>
      </c>
    </row>
    <row r="119" spans="1:2" ht="12.75">
      <c r="A119" s="126" t="str">
        <f>"+ Intereses diferidos leasing de vivienda"</f>
        <v>+ Intereses diferidos leasing de vivienda</v>
      </c>
      <c r="B119" s="127" t="s">
        <v>188</v>
      </c>
    </row>
    <row r="120" spans="1:2" ht="12.75">
      <c r="A120" s="126" t="str">
        <f>"+ IVA diferido leasing de vivienda"</f>
        <v>+ IVA diferido leasing de vivienda</v>
      </c>
      <c r="B120" s="127" t="s">
        <v>189</v>
      </c>
    </row>
    <row r="121" spans="1:2" ht="12.75">
      <c r="A121" s="119" t="str">
        <f>"+ Contratos de leasing de vivienda vencidos"</f>
        <v>+ Contratos de leasing de vivienda vencidos</v>
      </c>
      <c r="B121" s="129" t="s">
        <v>190</v>
      </c>
    </row>
    <row r="122" spans="1:2" ht="12.75">
      <c r="A122" s="33"/>
      <c r="B122" s="131"/>
    </row>
    <row r="123" spans="1:2" ht="12.75">
      <c r="A123" s="188" t="s">
        <v>70</v>
      </c>
      <c r="B123" s="189"/>
    </row>
    <row r="124" spans="1:2" ht="12.75">
      <c r="A124" s="117"/>
      <c r="B124" s="118"/>
    </row>
    <row r="125" spans="1:2" ht="12.75">
      <c r="A125" s="119" t="s">
        <v>70</v>
      </c>
      <c r="B125" s="120" t="s">
        <v>192</v>
      </c>
    </row>
    <row r="126" ht="12.75">
      <c r="A126" s="6"/>
    </row>
    <row r="127" spans="1:2" ht="12.75">
      <c r="A127" s="188" t="s">
        <v>71</v>
      </c>
      <c r="B127" s="189"/>
    </row>
    <row r="128" spans="1:2" ht="12.75">
      <c r="A128" s="117"/>
      <c r="B128" s="118"/>
    </row>
    <row r="129" spans="1:2" ht="12.75">
      <c r="A129" s="123" t="s">
        <v>193</v>
      </c>
      <c r="B129" s="128" t="s">
        <v>194</v>
      </c>
    </row>
    <row r="130" spans="1:2" ht="12.75">
      <c r="A130" s="123" t="str">
        <f>"- Cuentas ajuste control pasivo"</f>
        <v>- Cuentas ajuste control pasivo</v>
      </c>
      <c r="B130" s="128" t="str">
        <f>"- (4505 a 4525)"</f>
        <v>- (4505 a 4525)</v>
      </c>
    </row>
    <row r="131" spans="1:2" ht="12.75">
      <c r="A131" s="123" t="str">
        <f>"- Documentos a cargo de otros bancos (canje)"</f>
        <v>- Documentos a cargo de otros bancos (canje)</v>
      </c>
      <c r="B131" s="128" t="str">
        <f>"- 1015"</f>
        <v>- 1015</v>
      </c>
    </row>
    <row r="132" spans="1:2" ht="12.75">
      <c r="A132" s="119" t="str">
        <f>"- Operaciones a futuro pasivo"</f>
        <v>- Operaciones a futuro pasivo</v>
      </c>
      <c r="B132" s="132">
        <v>4127</v>
      </c>
    </row>
    <row r="133" ht="12.75">
      <c r="A133" s="6"/>
    </row>
    <row r="134" spans="1:2" ht="12.75">
      <c r="A134" s="188" t="s">
        <v>72</v>
      </c>
      <c r="B134" s="189"/>
    </row>
    <row r="135" spans="1:2" ht="12.75">
      <c r="A135" s="121"/>
      <c r="B135" s="122"/>
    </row>
    <row r="136" spans="1:2" ht="12.75">
      <c r="A136" s="123" t="s">
        <v>195</v>
      </c>
      <c r="B136" s="126">
        <v>3005</v>
      </c>
    </row>
    <row r="137" spans="1:2" ht="12.75">
      <c r="A137" s="123" t="str">
        <f>"+ Otros saldos acreedores a la vista"</f>
        <v>+ Otros saldos acreedores a la vista</v>
      </c>
      <c r="B137" s="133">
        <v>3010</v>
      </c>
    </row>
    <row r="138" spans="1:2" ht="12.75">
      <c r="A138" s="123" t="str">
        <f>"+ Cuentas de depósito a la vista"</f>
        <v>+ Cuentas de depósito a la vista</v>
      </c>
      <c r="B138" s="133">
        <v>3015</v>
      </c>
    </row>
    <row r="139" spans="1:2" ht="12.75">
      <c r="A139" s="123" t="str">
        <f>"- Documentos a cargo de otros bancos (canje)"</f>
        <v>- Documentos a cargo de otros bancos (canje)</v>
      </c>
      <c r="B139" s="134">
        <v>1015</v>
      </c>
    </row>
    <row r="140" spans="1:2" ht="12.75">
      <c r="A140" s="123" t="str">
        <f>"+ Depósitos y captaciones a plazo 30 a 89 días"</f>
        <v>+ Depósitos y captaciones a plazo 30 a 89 días</v>
      </c>
      <c r="B140" s="133">
        <v>3020</v>
      </c>
    </row>
    <row r="141" spans="1:2" ht="12.75">
      <c r="A141" s="123" t="str">
        <f>"+ Depósitos y captaciones a plazo 90 días a 1 año"</f>
        <v>+ Depósitos y captaciones a plazo 90 días a 1 año</v>
      </c>
      <c r="B141" s="133">
        <v>3025</v>
      </c>
    </row>
    <row r="142" spans="1:2" ht="12.75">
      <c r="A142" s="123" t="str">
        <f>"+ Otros saldos acreedores a plazo"</f>
        <v>+ Otros saldos acreedores a plazo</v>
      </c>
      <c r="B142" s="133">
        <v>3030</v>
      </c>
    </row>
    <row r="143" spans="1:2" ht="12.75">
      <c r="A143" s="123" t="str">
        <f>"+ Depósitos de ahorro a plazo"</f>
        <v>+ Depósitos de ahorro a plazo</v>
      </c>
      <c r="B143" s="133">
        <v>3035</v>
      </c>
    </row>
    <row r="144" spans="1:2" ht="12.75">
      <c r="A144" s="119" t="str">
        <f>"+ Depósitos y captaciones (a más de 1 año)"</f>
        <v>+ Depósitos y captaciones (a más de 1 año)</v>
      </c>
      <c r="B144" s="135">
        <v>3065</v>
      </c>
    </row>
    <row r="146" spans="1:2" ht="12.75">
      <c r="A146" s="188" t="s">
        <v>251</v>
      </c>
      <c r="B146" s="189"/>
    </row>
    <row r="147" spans="1:2" ht="12.75">
      <c r="A147" s="136"/>
      <c r="B147" s="137"/>
    </row>
    <row r="148" spans="1:2" ht="12.75">
      <c r="A148" s="126" t="s">
        <v>195</v>
      </c>
      <c r="B148" s="126">
        <v>3005</v>
      </c>
    </row>
    <row r="149" spans="1:2" ht="12.75">
      <c r="A149" s="126" t="str">
        <f>"+ Otros saldos acreedores a la vista"</f>
        <v>+ Otros saldos acreedores a la vista</v>
      </c>
      <c r="B149" s="133">
        <v>3010</v>
      </c>
    </row>
    <row r="150" spans="1:2" ht="12.75">
      <c r="A150" s="126" t="str">
        <f>"+ Cuentas de depósito a la vista"</f>
        <v>+ Cuentas de depósito a la vista</v>
      </c>
      <c r="B150" s="133">
        <v>3015</v>
      </c>
    </row>
    <row r="151" spans="1:2" ht="12.75">
      <c r="A151" s="130" t="str">
        <f>"- Documentos a cargo de otros bancos (canje)"</f>
        <v>- Documentos a cargo de otros bancos (canje)</v>
      </c>
      <c r="B151" s="138">
        <v>1015</v>
      </c>
    </row>
    <row r="153" spans="1:2" ht="12.75">
      <c r="A153" s="188" t="s">
        <v>196</v>
      </c>
      <c r="B153" s="189"/>
    </row>
    <row r="154" spans="1:2" ht="12.75">
      <c r="A154" s="139"/>
      <c r="B154" s="122"/>
    </row>
    <row r="155" spans="1:2" ht="12.75">
      <c r="A155" s="123" t="str">
        <f>"   Depósitos y captaciones a plazo 30 a 89 días"</f>
        <v>   Depósitos y captaciones a plazo 30 a 89 días</v>
      </c>
      <c r="B155" s="126">
        <v>3020</v>
      </c>
    </row>
    <row r="156" spans="1:2" ht="12.75">
      <c r="A156" s="123" t="str">
        <f>"+ Depósitos y captaciones a plazo 90 días a 1 año"</f>
        <v>+ Depósitos y captaciones a plazo 90 días a 1 año</v>
      </c>
      <c r="B156" s="133">
        <v>3025</v>
      </c>
    </row>
    <row r="157" spans="1:2" ht="12.75">
      <c r="A157" s="123" t="str">
        <f>"+ Otros saldos acreedores a plazo"</f>
        <v>+ Otros saldos acreedores a plazo</v>
      </c>
      <c r="B157" s="133">
        <v>3030</v>
      </c>
    </row>
    <row r="158" spans="1:2" ht="12.75">
      <c r="A158" s="123" t="str">
        <f>"+ Depósitos de ahorro a plazo"</f>
        <v>+ Depósitos de ahorro a plazo</v>
      </c>
      <c r="B158" s="133">
        <v>3035</v>
      </c>
    </row>
    <row r="159" spans="1:2" ht="12.75">
      <c r="A159" s="119" t="str">
        <f>"+ Depósitos y captaciones (a más de 1 año)"</f>
        <v>+ Depósitos y captaciones (a más de 1 año)</v>
      </c>
      <c r="B159" s="135">
        <v>3065</v>
      </c>
    </row>
    <row r="161" spans="1:2" ht="12.75">
      <c r="A161" s="188" t="s">
        <v>115</v>
      </c>
      <c r="B161" s="189"/>
    </row>
    <row r="162" spans="1:2" ht="12.75">
      <c r="A162" s="121"/>
      <c r="B162" s="122"/>
    </row>
    <row r="163" spans="1:2" ht="12.75">
      <c r="A163" s="123" t="s">
        <v>197</v>
      </c>
      <c r="B163" s="128" t="s">
        <v>198</v>
      </c>
    </row>
    <row r="164" spans="1:2" ht="12.75">
      <c r="A164" s="119" t="str">
        <f>"+ Cartas de crédito simples o documentarias"</f>
        <v>+ Cartas de crédito simples o documentarias</v>
      </c>
      <c r="B164" s="135">
        <v>3615</v>
      </c>
    </row>
    <row r="166" spans="1:2" ht="12.75">
      <c r="A166" s="188" t="s">
        <v>116</v>
      </c>
      <c r="B166" s="189"/>
    </row>
    <row r="167" spans="1:2" ht="12.75">
      <c r="A167" s="122"/>
      <c r="B167" s="122"/>
    </row>
    <row r="168" spans="1:2" ht="12.75">
      <c r="A168" s="126" t="str">
        <f>"Obligaciones con letras  de crédito"</f>
        <v>Obligaciones con letras  de crédito</v>
      </c>
      <c r="B168" s="128" t="s">
        <v>199</v>
      </c>
    </row>
    <row r="169" spans="1:2" ht="12.75">
      <c r="A169" s="126" t="str">
        <f>" + Obligaciones por bonos (ordinarios)"</f>
        <v> + Obligaciones por bonos (ordinarios)</v>
      </c>
      <c r="B169" s="133">
        <v>3075</v>
      </c>
    </row>
    <row r="170" spans="1:2" ht="12.75">
      <c r="A170" s="130" t="s">
        <v>200</v>
      </c>
      <c r="B170" s="135">
        <v>4190</v>
      </c>
    </row>
    <row r="172" spans="1:2" ht="12.75">
      <c r="A172" s="188" t="s">
        <v>201</v>
      </c>
      <c r="B172" s="189"/>
    </row>
    <row r="173" spans="1:2" ht="12.75">
      <c r="A173" s="118"/>
      <c r="B173" s="118"/>
    </row>
    <row r="174" spans="1:2" ht="12.75">
      <c r="A174" s="130" t="str">
        <f>"Obligaciones con letras  de crédito"</f>
        <v>Obligaciones con letras  de crédito</v>
      </c>
      <c r="B174" s="120" t="s">
        <v>199</v>
      </c>
    </row>
    <row r="176" spans="1:2" ht="12.75">
      <c r="A176" s="188" t="s">
        <v>202</v>
      </c>
      <c r="B176" s="189"/>
    </row>
    <row r="177" spans="1:2" ht="12.75">
      <c r="A177" s="122"/>
      <c r="B177" s="122"/>
    </row>
    <row r="178" spans="1:2" ht="12.75">
      <c r="A178" s="130" t="str">
        <f>"Obligaciones por bonos (ordinarios)"</f>
        <v>Obligaciones por bonos (ordinarios)</v>
      </c>
      <c r="B178" s="140">
        <v>3075</v>
      </c>
    </row>
    <row r="180" spans="1:2" ht="12.75">
      <c r="A180" s="188" t="s">
        <v>203</v>
      </c>
      <c r="B180" s="189"/>
    </row>
    <row r="181" spans="1:2" ht="12.75">
      <c r="A181" s="121"/>
      <c r="B181" s="141"/>
    </row>
    <row r="182" spans="1:2" ht="12.75">
      <c r="A182" s="119" t="s">
        <v>203</v>
      </c>
      <c r="B182" s="130">
        <v>4190</v>
      </c>
    </row>
    <row r="184" spans="1:2" ht="12.75">
      <c r="A184" s="188" t="s">
        <v>73</v>
      </c>
      <c r="B184" s="189"/>
    </row>
    <row r="185" spans="1:2" ht="12.75">
      <c r="A185" s="122"/>
      <c r="B185" s="141"/>
    </row>
    <row r="186" spans="1:2" ht="12.75">
      <c r="A186" s="130" t="s">
        <v>73</v>
      </c>
      <c r="B186" s="120" t="s">
        <v>204</v>
      </c>
    </row>
    <row r="188" spans="1:2" ht="12.75">
      <c r="A188" s="188" t="s">
        <v>76</v>
      </c>
      <c r="B188" s="189"/>
    </row>
    <row r="189" spans="1:2" ht="12.75">
      <c r="A189" s="122"/>
      <c r="B189" s="141"/>
    </row>
    <row r="190" spans="1:2" ht="12.75">
      <c r="A190" s="119" t="s">
        <v>76</v>
      </c>
      <c r="B190" s="120" t="s">
        <v>205</v>
      </c>
    </row>
    <row r="192" spans="1:2" ht="12.75">
      <c r="A192" s="188" t="s">
        <v>75</v>
      </c>
      <c r="B192" s="189"/>
    </row>
    <row r="193" spans="1:2" ht="12.75">
      <c r="A193" s="122"/>
      <c r="B193" s="141"/>
    </row>
    <row r="194" spans="1:2" ht="12.75">
      <c r="A194" s="126" t="s">
        <v>206</v>
      </c>
      <c r="B194" s="128">
        <v>1350</v>
      </c>
    </row>
    <row r="195" spans="1:2" ht="12.75">
      <c r="A195" s="130" t="str">
        <f>"+ contratos de leasing vencidos"</f>
        <v>+ contratos de leasing vencidos</v>
      </c>
      <c r="B195" s="135">
        <v>1421</v>
      </c>
    </row>
    <row r="196" spans="1:2" ht="12.75">
      <c r="A196" s="6"/>
      <c r="B196" s="142"/>
    </row>
    <row r="197" spans="1:2" ht="12.75">
      <c r="A197" s="188" t="s">
        <v>93</v>
      </c>
      <c r="B197" s="189"/>
    </row>
    <row r="198" spans="1:2" ht="12.75">
      <c r="A198" s="122"/>
      <c r="B198" s="141"/>
    </row>
    <row r="199" spans="1:2" ht="12.75">
      <c r="A199" s="126" t="s">
        <v>207</v>
      </c>
      <c r="B199" s="125">
        <v>1135</v>
      </c>
    </row>
    <row r="200" spans="1:2" ht="12.75">
      <c r="A200" s="130" t="str">
        <f>"+ Operaciones de factoraje vencidas"</f>
        <v>+ Operaciones de factoraje vencidas</v>
      </c>
      <c r="B200" s="129">
        <v>1418</v>
      </c>
    </row>
    <row r="202" spans="1:2" ht="12.75">
      <c r="A202" s="188" t="s">
        <v>74</v>
      </c>
      <c r="B202" s="189"/>
    </row>
    <row r="203" spans="1:2" ht="12.75">
      <c r="A203" s="122"/>
      <c r="B203" s="122"/>
    </row>
    <row r="204" spans="1:2" ht="12.75">
      <c r="A204" s="126" t="str">
        <f>"   Deudores por boletas de garantía y consig. judic. (hasta 1 año)"</f>
        <v>   Deudores por boletas de garantía y consig. judic. (hasta 1 año)</v>
      </c>
      <c r="B204" s="124">
        <v>1605</v>
      </c>
    </row>
    <row r="205" spans="1:2" ht="12.75">
      <c r="A205" s="126" t="str">
        <f>"+ Deudores por avales y fianzas (hasta 1 año)"</f>
        <v>+ Deudores por avales y fianzas (hasta 1 año)</v>
      </c>
      <c r="B205" s="125">
        <v>1610</v>
      </c>
    </row>
    <row r="206" spans="1:2" ht="12.75">
      <c r="A206" s="126" t="str">
        <f>"+ Deudores por carta crédito simples y documentarias"</f>
        <v>+ Deudores por carta crédito simples y documentarias</v>
      </c>
      <c r="B206" s="125">
        <v>1615</v>
      </c>
    </row>
    <row r="207" spans="1:2" ht="12.75">
      <c r="A207" s="126" t="str">
        <f>"+ Deudores por carta crédito del exterior confirmadas"</f>
        <v>+ Deudores por carta crédito del exterior confirmadas</v>
      </c>
      <c r="B207" s="125">
        <v>1620</v>
      </c>
    </row>
    <row r="208" spans="1:2" ht="12.75">
      <c r="A208" s="126" t="str">
        <f>"+ Deudores por boletas de garantía y consig. judic. (a más de 1 año)"</f>
        <v>+ Deudores por boletas de garantía y consig. judic. (a más de 1 año)</v>
      </c>
      <c r="B208" s="125">
        <v>1655</v>
      </c>
    </row>
    <row r="209" spans="1:2" ht="12.75">
      <c r="A209" s="130" t="str">
        <f>"+ Deudores por avales y fianzas (a más de 1 año)"</f>
        <v>+ Deudores por avales y fianzas (a más de 1 año)</v>
      </c>
      <c r="B209" s="129">
        <v>1660</v>
      </c>
    </row>
    <row r="212" spans="1:2" ht="12.75">
      <c r="A212" s="188" t="s">
        <v>77</v>
      </c>
      <c r="B212" s="189"/>
    </row>
    <row r="213" spans="1:2" ht="12.75">
      <c r="A213" s="121"/>
      <c r="B213" s="122"/>
    </row>
    <row r="214" spans="1:2" ht="12.75">
      <c r="A214" s="119" t="s">
        <v>77</v>
      </c>
      <c r="B214" s="120" t="s">
        <v>256</v>
      </c>
    </row>
    <row r="215" spans="1:2" ht="12.75">
      <c r="A215" s="6"/>
      <c r="B215" s="143"/>
    </row>
    <row r="217" spans="1:2" ht="12.75">
      <c r="A217" s="188" t="s">
        <v>208</v>
      </c>
      <c r="B217" s="189"/>
    </row>
    <row r="218" spans="1:2" ht="12.75">
      <c r="A218" s="121"/>
      <c r="B218" s="122"/>
    </row>
    <row r="219" spans="1:2" ht="12.75">
      <c r="A219" s="123" t="s">
        <v>209</v>
      </c>
      <c r="B219" s="128" t="s">
        <v>210</v>
      </c>
    </row>
    <row r="220" spans="1:2" ht="12.75">
      <c r="A220" s="123" t="str">
        <f>"+ Reajustes percibidos y devengados"</f>
        <v>+ Reajustes percibidos y devengados</v>
      </c>
      <c r="B220" s="128" t="s">
        <v>211</v>
      </c>
    </row>
    <row r="221" spans="1:2" ht="12.75">
      <c r="A221" s="123" t="str">
        <f>"- Intereses pagados y devengados"</f>
        <v>- Intereses pagados y devengados</v>
      </c>
      <c r="B221" s="128" t="s">
        <v>212</v>
      </c>
    </row>
    <row r="222" spans="1:2" ht="12.75">
      <c r="A222" s="123" t="str">
        <f>"- Reajustes pagados y devengados"</f>
        <v>- Reajustes pagados y devengados</v>
      </c>
      <c r="B222" s="128" t="str">
        <f>"- 5305 a 5400"</f>
        <v>- 5305 a 5400</v>
      </c>
    </row>
    <row r="223" spans="1:2" ht="12.75">
      <c r="A223" s="123" t="str">
        <f>"+ Utilidades de cambio"</f>
        <v>+ Utilidades de cambio</v>
      </c>
      <c r="B223" s="128" t="s">
        <v>213</v>
      </c>
    </row>
    <row r="224" spans="1:2" ht="12.75">
      <c r="A224" s="119" t="str">
        <f>"- Pérdidas de cambio"</f>
        <v>- Pérdidas de cambio</v>
      </c>
      <c r="B224" s="120" t="str">
        <f>"- 5705 a 5710"</f>
        <v>- 5705 a 5710</v>
      </c>
    </row>
    <row r="226" spans="1:2" ht="12.75">
      <c r="A226" s="188" t="s">
        <v>80</v>
      </c>
      <c r="B226" s="189"/>
    </row>
    <row r="227" spans="1:2" ht="12.75">
      <c r="A227" s="122"/>
      <c r="B227" s="122"/>
    </row>
    <row r="228" spans="1:2" ht="12.75">
      <c r="A228" s="126" t="str">
        <f>"  Comisiones percibidas y devengadas"</f>
        <v>  Comisiones percibidas y devengadas</v>
      </c>
      <c r="B228" s="128" t="s">
        <v>214</v>
      </c>
    </row>
    <row r="229" spans="1:2" ht="12.75">
      <c r="A229" s="130" t="str">
        <f>"- Comisiones pagadas y devengadas"</f>
        <v>- Comisiones pagadas y devengadas</v>
      </c>
      <c r="B229" s="120" t="str">
        <f>"- 5505 a 5530"</f>
        <v>- 5505 a 5530</v>
      </c>
    </row>
    <row r="231" spans="1:2" ht="12.75">
      <c r="A231" s="188" t="s">
        <v>215</v>
      </c>
      <c r="B231" s="189"/>
    </row>
    <row r="232" spans="1:2" ht="12.75">
      <c r="A232" s="122"/>
      <c r="B232" s="122"/>
    </row>
    <row r="233" spans="1:2" ht="12.75">
      <c r="A233" s="126"/>
      <c r="B233" s="126"/>
    </row>
    <row r="234" spans="1:2" ht="12.75">
      <c r="A234" s="130" t="s">
        <v>216</v>
      </c>
      <c r="B234" s="144" t="s">
        <v>217</v>
      </c>
    </row>
    <row r="236" spans="1:2" ht="12.75">
      <c r="A236" s="188" t="s">
        <v>218</v>
      </c>
      <c r="B236" s="189"/>
    </row>
    <row r="237" spans="1:2" ht="12.75">
      <c r="A237" s="121"/>
      <c r="B237" s="122"/>
    </row>
    <row r="238" spans="1:2" ht="12.75">
      <c r="A238" s="123" t="s">
        <v>219</v>
      </c>
      <c r="B238" s="128" t="s">
        <v>220</v>
      </c>
    </row>
    <row r="239" spans="1:2" ht="12.75">
      <c r="A239" s="123" t="str">
        <f>"- Pérdidas por diferencias de precio"</f>
        <v>- Pérdidas por diferencias de precio</v>
      </c>
      <c r="B239" s="128" t="str">
        <f>"- 5605 a 5650"</f>
        <v>- 5605 a 5650</v>
      </c>
    </row>
    <row r="240" spans="1:2" ht="12.75">
      <c r="A240" s="123" t="str">
        <f>"+ Otros Ingresos de operación"</f>
        <v>+ Otros Ingresos de operación</v>
      </c>
      <c r="B240" s="125">
        <v>7910</v>
      </c>
    </row>
    <row r="241" spans="1:2" ht="12.75">
      <c r="A241" s="123" t="str">
        <f>"- Otros gastos de operación"</f>
        <v>- Otros gastos de operación</v>
      </c>
      <c r="B241" s="128" t="str">
        <f>"- 5900"</f>
        <v>- 5900</v>
      </c>
    </row>
    <row r="242" spans="1:2" ht="12.75">
      <c r="A242" s="123" t="str">
        <f>"+ Corrección Monetaria (ingreso)"</f>
        <v>+ Corrección Monetaria (ingreso)</v>
      </c>
      <c r="B242" s="125">
        <v>8405</v>
      </c>
    </row>
    <row r="243" spans="1:2" ht="12.75">
      <c r="A243" s="119" t="str">
        <f>"- Corrección Monetaria (gasto)"</f>
        <v>- Corrección Monetaria (gasto)</v>
      </c>
      <c r="B243" s="132">
        <v>6405</v>
      </c>
    </row>
    <row r="245" spans="1:2" ht="12.75">
      <c r="A245" s="190" t="s">
        <v>82</v>
      </c>
      <c r="B245" s="191"/>
    </row>
    <row r="246" spans="1:2" ht="12.75">
      <c r="A246" s="121"/>
      <c r="B246" s="157"/>
    </row>
    <row r="247" spans="1:2" ht="12.75">
      <c r="A247" s="123" t="s">
        <v>221</v>
      </c>
      <c r="B247" s="158"/>
    </row>
    <row r="248" spans="1:2" ht="12.75">
      <c r="A248" s="123" t="str">
        <f>"+ Comisiones netas"</f>
        <v>+ Comisiones netas</v>
      </c>
      <c r="B248" s="158"/>
    </row>
    <row r="249" spans="1:2" ht="12.75">
      <c r="A249" s="123" t="str">
        <f>"+ Recuperación de colocaciones  e inversiones castigadas"</f>
        <v>+ Recuperación de colocaciones  e inversiones castigadas</v>
      </c>
      <c r="B249" s="158"/>
    </row>
    <row r="250" spans="1:2" ht="12.75">
      <c r="A250" s="119" t="str">
        <f>"+ Otros ingresos de operación netos"</f>
        <v>+ Otros ingresos de operación netos</v>
      </c>
      <c r="B250" s="159"/>
    </row>
    <row r="251" spans="1:2" ht="12.75">
      <c r="A251" s="6"/>
      <c r="B251" s="6"/>
    </row>
    <row r="252" spans="1:2" ht="12.75">
      <c r="A252" s="188" t="s">
        <v>83</v>
      </c>
      <c r="B252" s="189"/>
    </row>
    <row r="253" spans="1:2" ht="12.75">
      <c r="A253" s="122"/>
      <c r="B253" s="122"/>
    </row>
    <row r="254" spans="1:2" ht="12.75">
      <c r="A254" s="130" t="s">
        <v>83</v>
      </c>
      <c r="B254" s="120" t="s">
        <v>222</v>
      </c>
    </row>
    <row r="255" spans="1:2" ht="12.75">
      <c r="A255" s="6"/>
      <c r="B255" s="6"/>
    </row>
    <row r="256" spans="1:2" ht="12.75">
      <c r="A256" s="188" t="s">
        <v>49</v>
      </c>
      <c r="B256" s="189"/>
    </row>
    <row r="257" spans="1:2" ht="12.75">
      <c r="A257" s="122"/>
      <c r="B257" s="122"/>
    </row>
    <row r="258" spans="1:2" ht="12.75">
      <c r="A258" s="126" t="s">
        <v>223</v>
      </c>
      <c r="B258" s="128" t="s">
        <v>224</v>
      </c>
    </row>
    <row r="259" spans="1:2" ht="12.75">
      <c r="A259" s="130" t="s">
        <v>225</v>
      </c>
      <c r="B259" s="144" t="s">
        <v>226</v>
      </c>
    </row>
    <row r="261" spans="1:2" ht="12.75">
      <c r="A261" s="190" t="s">
        <v>84</v>
      </c>
      <c r="B261" s="191"/>
    </row>
    <row r="262" spans="1:2" ht="12.75">
      <c r="A262" s="121"/>
      <c r="B262" s="157"/>
    </row>
    <row r="263" spans="1:2" ht="12.75">
      <c r="A263" s="123" t="s">
        <v>227</v>
      </c>
      <c r="B263" s="158"/>
    </row>
    <row r="264" spans="1:2" ht="12.75">
      <c r="A264" s="123" t="str">
        <f>"- Gastos de apoyo operacional"</f>
        <v>- Gastos de apoyo operacional</v>
      </c>
      <c r="B264" s="158"/>
    </row>
    <row r="265" spans="1:2" ht="12.75">
      <c r="A265" s="119" t="str">
        <f>"- Gasto en provisiones"</f>
        <v>- Gasto en provisiones</v>
      </c>
      <c r="B265" s="159"/>
    </row>
    <row r="266" spans="1:2" ht="12.75">
      <c r="A266" s="64"/>
      <c r="B266" s="64"/>
    </row>
    <row r="267" spans="1:2" ht="12.75">
      <c r="A267" s="188" t="s">
        <v>252</v>
      </c>
      <c r="B267" s="189"/>
    </row>
    <row r="268" spans="1:2" ht="12.75">
      <c r="A268" s="122"/>
      <c r="B268" s="122"/>
    </row>
    <row r="269" spans="1:2" ht="12.75">
      <c r="A269" s="145" t="s">
        <v>229</v>
      </c>
      <c r="B269" s="146">
        <v>8350</v>
      </c>
    </row>
    <row r="270" spans="1:2" ht="12.75">
      <c r="A270" s="145" t="str">
        <f>"- Pérdidas por inversión en sociedades"</f>
        <v>- Pérdidas por inversión en sociedades</v>
      </c>
      <c r="B270" s="147">
        <v>6350</v>
      </c>
    </row>
    <row r="271" spans="1:2" ht="12.75">
      <c r="A271" s="123" t="str">
        <f>"+ Utilidades de sucursales en el exterior"</f>
        <v>+ Utilidades de sucursales en el exterior</v>
      </c>
      <c r="B271" s="125">
        <v>8320</v>
      </c>
    </row>
    <row r="272" spans="1:2" ht="12.75">
      <c r="A272" s="119" t="str">
        <f>"- Perdidas de sucursales en el exterior"</f>
        <v>- Perdidas de sucursales en el exterior</v>
      </c>
      <c r="B272" s="132">
        <v>6320</v>
      </c>
    </row>
    <row r="273" spans="1:2" ht="12.75">
      <c r="A273" s="64"/>
      <c r="B273" s="64"/>
    </row>
    <row r="274" spans="1:2" ht="12.75">
      <c r="A274" s="190" t="s">
        <v>253</v>
      </c>
      <c r="B274" s="191"/>
    </row>
    <row r="275" spans="1:2" ht="12.75">
      <c r="A275" s="192" t="s">
        <v>230</v>
      </c>
      <c r="B275" s="193"/>
    </row>
    <row r="276" spans="1:2" ht="12.75">
      <c r="A276" s="117"/>
      <c r="B276" s="148"/>
    </row>
    <row r="277" spans="1:2" ht="12.75">
      <c r="A277" s="160" t="s">
        <v>231</v>
      </c>
      <c r="B277" s="161"/>
    </row>
    <row r="278" spans="1:2" ht="12.75">
      <c r="A278" s="162" t="str">
        <f>"+ Utilidades de inversiones en sociedades y de sucurs. en el exterior"</f>
        <v>+ Utilidades de inversiones en sociedades y de sucurs. en el exterior</v>
      </c>
      <c r="B278" s="163"/>
    </row>
    <row r="279" spans="1:2" ht="12.75">
      <c r="A279" s="64"/>
      <c r="B279" s="64"/>
    </row>
    <row r="280" spans="1:2" ht="12.75">
      <c r="A280" s="188" t="s">
        <v>104</v>
      </c>
      <c r="B280" s="189"/>
    </row>
    <row r="281" spans="1:2" ht="12.75">
      <c r="A281" s="121"/>
      <c r="B281" s="122"/>
    </row>
    <row r="282" spans="1:2" ht="12.75">
      <c r="A282" s="123" t="s">
        <v>232</v>
      </c>
      <c r="B282" s="128" t="s">
        <v>233</v>
      </c>
    </row>
    <row r="283" spans="1:2" ht="12.75">
      <c r="A283" s="123" t="s">
        <v>234</v>
      </c>
      <c r="B283" s="125">
        <v>8115</v>
      </c>
    </row>
    <row r="284" spans="1:2" ht="12.75">
      <c r="A284" s="119" t="str">
        <f>"- Gastos no operacionales"</f>
        <v>- Gastos no operacionales</v>
      </c>
      <c r="B284" s="120" t="str">
        <f>"- 6305 a 6315"</f>
        <v>- 6305 a 6315</v>
      </c>
    </row>
    <row r="285" spans="1:2" ht="12.75">
      <c r="A285" s="64"/>
      <c r="B285" s="64"/>
    </row>
    <row r="286" spans="1:2" ht="12.75">
      <c r="A286" s="190" t="s">
        <v>99</v>
      </c>
      <c r="B286" s="191"/>
    </row>
    <row r="287" spans="1:2" ht="12.75">
      <c r="A287" s="121"/>
      <c r="B287" s="157"/>
    </row>
    <row r="288" spans="1:2" ht="12.75">
      <c r="A288" s="160" t="s">
        <v>254</v>
      </c>
      <c r="B288" s="158"/>
    </row>
    <row r="289" spans="1:2" ht="12.75">
      <c r="A289" s="160" t="s">
        <v>235</v>
      </c>
      <c r="B289" s="158"/>
    </row>
    <row r="290" spans="1:2" ht="12.75">
      <c r="A290" s="119" t="str">
        <f>"+ Otros ingresos netos"</f>
        <v>+ Otros ingresos netos</v>
      </c>
      <c r="B290" s="159"/>
    </row>
    <row r="291" spans="1:2" ht="12.75">
      <c r="A291" s="6"/>
      <c r="B291" s="6"/>
    </row>
    <row r="292" spans="1:2" ht="12.75">
      <c r="A292" s="188" t="s">
        <v>94</v>
      </c>
      <c r="B292" s="189"/>
    </row>
    <row r="293" spans="1:2" ht="12.75">
      <c r="A293" s="122"/>
      <c r="B293" s="122"/>
    </row>
    <row r="294" spans="1:2" ht="12.75">
      <c r="A294" s="149" t="s">
        <v>236</v>
      </c>
      <c r="B294" s="130">
        <v>6605</v>
      </c>
    </row>
    <row r="295" ht="12.75">
      <c r="A295" s="6"/>
    </row>
    <row r="296" spans="1:2" ht="12.75">
      <c r="A296" s="190" t="s">
        <v>85</v>
      </c>
      <c r="B296" s="191"/>
    </row>
    <row r="297" spans="1:2" ht="12.75">
      <c r="A297" s="121"/>
      <c r="B297" s="157"/>
    </row>
    <row r="298" spans="1:2" ht="12.75">
      <c r="A298" s="160" t="s">
        <v>237</v>
      </c>
      <c r="B298" s="158"/>
    </row>
    <row r="299" spans="1:2" ht="12.75">
      <c r="A299" s="119" t="str">
        <f>"- Impuestos"</f>
        <v>- Impuestos</v>
      </c>
      <c r="B299" s="159"/>
    </row>
    <row r="300" ht="12.75">
      <c r="A300" s="6"/>
    </row>
    <row r="301" spans="1:2" ht="12.75">
      <c r="A301" s="188" t="s">
        <v>128</v>
      </c>
      <c r="B301" s="189"/>
    </row>
    <row r="302" spans="1:2" ht="12.75">
      <c r="A302" s="117"/>
      <c r="B302" s="118"/>
    </row>
    <row r="303" spans="1:2" ht="12.75">
      <c r="A303" s="150" t="s">
        <v>128</v>
      </c>
      <c r="B303" s="130">
        <v>9602</v>
      </c>
    </row>
  </sheetData>
  <mergeCells count="40"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  <mergeCell ref="A231:B231"/>
    <mergeCell ref="A236:B236"/>
    <mergeCell ref="A245:B245"/>
    <mergeCell ref="A252:B252"/>
    <mergeCell ref="A202:B202"/>
    <mergeCell ref="A212:B212"/>
    <mergeCell ref="A217:B217"/>
    <mergeCell ref="A226:B226"/>
    <mergeCell ref="A184:B184"/>
    <mergeCell ref="A188:B188"/>
    <mergeCell ref="A192:B192"/>
    <mergeCell ref="A197:B197"/>
    <mergeCell ref="A166:B166"/>
    <mergeCell ref="A172:B172"/>
    <mergeCell ref="A176:B176"/>
    <mergeCell ref="A180:B180"/>
    <mergeCell ref="A12:B12"/>
    <mergeCell ref="A16:B16"/>
    <mergeCell ref="A47:B47"/>
    <mergeCell ref="A70:B70"/>
    <mergeCell ref="A79:B79"/>
    <mergeCell ref="A84:B84"/>
    <mergeCell ref="A102:B102"/>
    <mergeCell ref="A112:B112"/>
    <mergeCell ref="A146:B146"/>
    <mergeCell ref="A153:B153"/>
    <mergeCell ref="A161:B161"/>
    <mergeCell ref="A123:B123"/>
    <mergeCell ref="A127:B127"/>
    <mergeCell ref="A134:B134"/>
  </mergeCells>
  <hyperlinks>
    <hyperlink ref="G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r:id="rId2"/>
  <rowBreaks count="6" manualBreakCount="6">
    <brk id="46" max="1" man="1"/>
    <brk id="83" max="1" man="1"/>
    <brk id="133" max="1" man="1"/>
    <brk id="183" max="1" man="1"/>
    <brk id="230" max="1" man="1"/>
    <brk id="27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WEB JUN'2002</dc:title>
  <dc:subject>IF</dc:subject>
  <dc:creator>ldiaz</dc:creator>
  <cp:keywords/>
  <dc:description/>
  <cp:lastModifiedBy>Juan Carlos Camus</cp:lastModifiedBy>
  <cp:lastPrinted>2005-04-21T12:41:09Z</cp:lastPrinted>
  <dcterms:created xsi:type="dcterms:W3CDTF">1998-06-19T14:09:35Z</dcterms:created>
  <dcterms:modified xsi:type="dcterms:W3CDTF">2005-04-21T14:45:14Z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-1747884445</vt:i4>
  </property>
  <property fmtid="{D5CDD505-2E9C-101B-9397-08002B2CF9AE}" pid="3" name="_EmailSubject">
    <vt:lpwstr>Información Financiera Mensual - Marzo de 2005.XLS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